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Global_Assumptions" sheetId="2" state="visible" r:id="rId2"/>
    <sheet xmlns:r="http://schemas.openxmlformats.org/officeDocument/2006/relationships" name="Logistics_Common" sheetId="3" state="visible" r:id="rId3"/>
    <sheet xmlns:r="http://schemas.openxmlformats.org/officeDocument/2006/relationships" name="Index_Library" sheetId="4" state="visible" r:id="rId4"/>
    <sheet xmlns:r="http://schemas.openxmlformats.org/officeDocument/2006/relationships" name="Commodity_Config" sheetId="5" state="visible" r:id="rId5"/>
    <sheet xmlns:r="http://schemas.openxmlformats.org/officeDocument/2006/relationships" name="Incoterms_Config" sheetId="6" state="visible" r:id="rId6"/>
    <sheet xmlns:r="http://schemas.openxmlformats.org/officeDocument/2006/relationships" name="TC_RC" sheetId="7" state="visible" r:id="rId7"/>
    <sheet xmlns:r="http://schemas.openxmlformats.org/officeDocument/2006/relationships" name="Assay_Adjustment" sheetId="8" state="visible" r:id="rId8"/>
    <sheet xmlns:r="http://schemas.openxmlformats.org/officeDocument/2006/relationships" name="Byproduct_Credits" sheetId="9" state="visible" r:id="rId9"/>
    <sheet xmlns:r="http://schemas.openxmlformats.org/officeDocument/2006/relationships" name="Scenario_Analysis" sheetId="10" state="visible" r:id="rId10"/>
    <sheet xmlns:r="http://schemas.openxmlformats.org/officeDocument/2006/relationships" name="Sb_Model" sheetId="11" state="visible" r:id="rId11"/>
    <sheet xmlns:r="http://schemas.openxmlformats.org/officeDocument/2006/relationships" name="WO3_Model" sheetId="12" state="visible" r:id="rId12"/>
    <sheet xmlns:r="http://schemas.openxmlformats.org/officeDocument/2006/relationships" name="Li2O_Model" sheetId="13" state="visible" r:id="rId13"/>
    <sheet xmlns:r="http://schemas.openxmlformats.org/officeDocument/2006/relationships" name="Cu_Model" sheetId="14" state="visible" r:id="rId14"/>
    <sheet xmlns:r="http://schemas.openxmlformats.org/officeDocument/2006/relationships" name="Deal_Summary" sheetId="15" state="visible" r:id="rId15"/>
    <sheet xmlns:r="http://schemas.openxmlformats.org/officeDocument/2006/relationships" name="Downstream_Quote" sheetId="16" state="visible" r:id="rId16"/>
    <sheet xmlns:r="http://schemas.openxmlformats.org/officeDocument/2006/relationships" name="Source_Notes" sheetId="17" state="visible" r:id="rId17"/>
    <sheet xmlns:r="http://schemas.openxmlformats.org/officeDocument/2006/relationships" name="Validation_Checks" sheetId="18" state="visible" r:id="rId18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;(0.0%);-"/>
    <numFmt numFmtId="165" formatCode="$#,##0;($#,##0);-"/>
    <numFmt numFmtId="166" formatCode="#,##0.00;(#,##0.00);-"/>
  </numFmts>
  <fonts count="7">
    <font>
      <name val="Calibri"/>
      <family val="2"/>
      <color theme="1"/>
      <sz val="11"/>
      <scheme val="minor"/>
    </font>
    <font>
      <name val="Arial"/>
      <b val="1"/>
      <color rgb="00FFFFFF"/>
      <sz val="15"/>
    </font>
    <font>
      <name val="Arial"/>
      <i val="1"/>
      <color rgb="00666666"/>
    </font>
    <font>
      <name val="Arial"/>
      <b val="1"/>
      <color rgb="00FFFFFF"/>
    </font>
    <font>
      <name val="Arial"/>
      <color rgb="000000FF"/>
      <sz val="10"/>
    </font>
    <font>
      <name val="Arial"/>
      <color rgb="00000000"/>
      <sz val="10"/>
    </font>
    <font>
      <name val="Arial"/>
      <color rgb="00008000"/>
      <sz val="10"/>
    </font>
  </fonts>
  <fills count="5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FFF2CC"/>
      </patternFill>
    </fill>
    <fill>
      <patternFill patternType="solid">
        <fgColor rgb="00E2F0D9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5" fillId="2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0" fontId="5" fillId="3" borderId="1" applyAlignment="1" pivotButton="0" quotePrefix="0" xfId="0">
      <alignment vertical="center" wrapText="1"/>
    </xf>
    <xf numFmtId="164" fontId="5" fillId="3" borderId="1" applyAlignment="1" pivotButton="0" quotePrefix="0" xfId="0">
      <alignment vertical="center" wrapText="1"/>
    </xf>
    <xf numFmtId="165" fontId="5" fillId="4" borderId="1" applyAlignment="1" pivotButton="0" quotePrefix="0" xfId="0">
      <alignment vertical="center" wrapText="1"/>
    </xf>
    <xf numFmtId="164" fontId="5" fillId="4" borderId="1" applyAlignment="1" pivotButton="0" quotePrefix="0" xfId="0">
      <alignment vertical="center" wrapText="1"/>
    </xf>
    <xf numFmtId="165" fontId="5" fillId="3" borderId="1" applyAlignment="1" pivotButton="0" quotePrefix="0" xfId="0">
      <alignment vertical="center" wrapText="1"/>
    </xf>
    <xf numFmtId="166" fontId="5" fillId="4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styles" Target="styles.xml" Id="rId19"/><Relationship Type="http://schemas.openxmlformats.org/officeDocument/2006/relationships/theme" Target="theme/theme1.xml" Id="rId2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24" customWidth="1" min="2" max="2"/>
    <col width="28" customWidth="1" min="3" max="3"/>
    <col width="26" customWidth="1" min="4" max="4"/>
    <col width="14" customWidth="1" min="5" max="5"/>
    <col width="22" customWidth="1" min="6" max="6"/>
    <col width="16" customWidth="1" min="7" max="7"/>
    <col width="16" customWidth="1" min="8" max="8"/>
  </cols>
  <sheetData>
    <row r="1" ht="22" customHeight="1">
      <c r="A1" s="1" t="inlineStr">
        <is>
          <t>GCTS Metals Pricing Engine V1</t>
        </is>
      </c>
      <c r="B1" s="2" t="n"/>
      <c r="C1" s="2" t="n"/>
      <c r="D1" s="2" t="n"/>
      <c r="E1" s="2" t="n"/>
      <c r="F1" s="2" t="n"/>
      <c r="G1" s="2" t="n"/>
      <c r="H1" s="2" t="n"/>
    </row>
    <row r="2" ht="22" customHeight="1">
      <c r="A2" s="2" t="inlineStr">
        <is>
          <t>多矿种报价引擎：Index + 公共物流 + 分矿种模型 + 下游报价</t>
        </is>
      </c>
      <c r="B2" s="2" t="n"/>
      <c r="C2" s="2" t="n"/>
      <c r="D2" s="2" t="n"/>
      <c r="E2" s="2" t="n"/>
      <c r="F2" s="2" t="n"/>
      <c r="G2" s="2" t="n"/>
      <c r="H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</row>
    <row r="4" ht="22" customHeight="1">
      <c r="A4" s="1" t="inlineStr">
        <is>
          <t>Module</t>
        </is>
      </c>
      <c r="B4" s="1" t="inlineStr">
        <is>
          <t>Purpose</t>
        </is>
      </c>
      <c r="C4" s="1" t="inlineStr">
        <is>
          <t>Key Inputs</t>
        </is>
      </c>
      <c r="D4" s="1" t="inlineStr">
        <is>
          <t>Key Outputs</t>
        </is>
      </c>
      <c r="E4" s="1" t="inlineStr">
        <is>
          <t>Status</t>
        </is>
      </c>
      <c r="F4" s="1" t="inlineStr">
        <is>
          <t>Sheet</t>
        </is>
      </c>
      <c r="G4" s="2" t="n"/>
      <c r="H4" s="2" t="n"/>
    </row>
    <row r="5" ht="22" customHeight="1">
      <c r="A5" s="2" t="inlineStr">
        <is>
          <t>Global_Assumptions</t>
        </is>
      </c>
      <c r="B5" s="2" t="inlineStr">
        <is>
          <t>全局参数</t>
        </is>
      </c>
      <c r="C5" s="2" t="inlineStr">
        <is>
          <t>汇率、付款、主体、港口</t>
        </is>
      </c>
      <c r="D5" s="2" t="inlineStr">
        <is>
          <t>供模型调用</t>
        </is>
      </c>
      <c r="E5" s="3" t="inlineStr">
        <is>
          <t>Active</t>
        </is>
      </c>
      <c r="F5" s="2" t="inlineStr">
        <is>
          <t>Global_Assumptions</t>
        </is>
      </c>
      <c r="G5" s="2" t="n"/>
      <c r="H5" s="2" t="n"/>
    </row>
    <row r="6" ht="22" customHeight="1">
      <c r="A6" s="2" t="inlineStr">
        <is>
          <t>Logistics_Common</t>
        </is>
      </c>
      <c r="B6" s="2" t="inlineStr">
        <is>
          <t>公共费用</t>
        </is>
      </c>
      <c r="C6" s="2" t="inlineStr">
        <is>
          <t>WMT/DMT/Fixed/%Value/%Cost</t>
        </is>
      </c>
      <c r="D6" s="2" t="inlineStr">
        <is>
          <t>物流与交易费用</t>
        </is>
      </c>
      <c r="E6" s="3" t="inlineStr">
        <is>
          <t>Active</t>
        </is>
      </c>
      <c r="F6" s="2" t="inlineStr">
        <is>
          <t>Logistics_Common</t>
        </is>
      </c>
      <c r="G6" s="2" t="n"/>
      <c r="H6" s="2" t="n"/>
    </row>
    <row r="7" ht="22" customHeight="1">
      <c r="A7" s="2" t="inlineStr">
        <is>
          <t>Index_Library</t>
        </is>
      </c>
      <c r="B7" s="2" t="inlineStr">
        <is>
          <t>价格index</t>
        </is>
      </c>
      <c r="C7" s="2" t="inlineStr">
        <is>
          <t>Sb/WO3/Li2O/Cu价格</t>
        </is>
      </c>
      <c r="D7" s="2" t="inlineStr">
        <is>
          <t>各矿种基准价</t>
        </is>
      </c>
      <c r="E7" s="3" t="inlineStr">
        <is>
          <t>Active</t>
        </is>
      </c>
      <c r="F7" s="2" t="inlineStr">
        <is>
          <t>Index_Library</t>
        </is>
      </c>
      <c r="G7" s="2" t="n"/>
      <c r="H7" s="2" t="n"/>
    </row>
    <row r="8" ht="22" customHeight="1">
      <c r="A8" s="2" t="inlineStr">
        <is>
          <t>Commodity_Config</t>
        </is>
      </c>
      <c r="B8" s="2" t="inlineStr">
        <is>
          <t>矿种参数</t>
        </is>
      </c>
      <c r="C8" s="2" t="inlineStr">
        <is>
          <t>品位、水分、Payability、TC、采购价</t>
        </is>
      </c>
      <c r="D8" s="2" t="inlineStr">
        <is>
          <t>模型输入</t>
        </is>
      </c>
      <c r="E8" s="3" t="inlineStr">
        <is>
          <t>Active</t>
        </is>
      </c>
      <c r="F8" s="2" t="inlineStr">
        <is>
          <t>Commodity_Config</t>
        </is>
      </c>
      <c r="G8" s="2" t="n"/>
      <c r="H8" s="2" t="n"/>
    </row>
    <row r="9" ht="22" customHeight="1">
      <c r="A9" s="2" t="inlineStr">
        <is>
          <t>Deal_Summary</t>
        </is>
      </c>
      <c r="B9" s="2" t="inlineStr">
        <is>
          <t>单票汇总</t>
        </is>
      </c>
      <c r="C9" s="2" t="inlineStr">
        <is>
          <t>四个模型结果</t>
        </is>
      </c>
      <c r="D9" s="2" t="inlineStr">
        <is>
          <t>市场建议与毛利</t>
        </is>
      </c>
      <c r="E9" s="3" t="inlineStr">
        <is>
          <t>Active</t>
        </is>
      </c>
      <c r="F9" s="2" t="inlineStr">
        <is>
          <t>Deal_Summary</t>
        </is>
      </c>
      <c r="G9" s="2" t="n"/>
      <c r="H9" s="2" t="n"/>
    </row>
    <row r="10" ht="22" customHeight="1">
      <c r="A10" s="2" t="inlineStr">
        <is>
          <t>Validation_Checks</t>
        </is>
      </c>
      <c r="B10" s="2" t="inlineStr">
        <is>
          <t>校验</t>
        </is>
      </c>
      <c r="C10" s="2" t="inlineStr">
        <is>
          <t>关键输入与毛利率</t>
        </is>
      </c>
      <c r="D10" s="2" t="inlineStr">
        <is>
          <t>OK/Check提示</t>
        </is>
      </c>
      <c r="E10" s="3" t="inlineStr">
        <is>
          <t>Active</t>
        </is>
      </c>
      <c r="F10" s="2" t="inlineStr">
        <is>
          <t>Validation_Checks</t>
        </is>
      </c>
      <c r="G10" s="2" t="n"/>
      <c r="H10" s="2" t="n"/>
    </row>
    <row r="11" ht="22" customHeight="1">
      <c r="A11" s="2" t="n"/>
      <c r="B11" s="2" t="n"/>
      <c r="C11" s="2" t="n"/>
      <c r="D11" s="2" t="n"/>
      <c r="E11" s="2" t="n"/>
      <c r="F11" s="2" t="n"/>
      <c r="G11" s="2" t="n"/>
      <c r="H11" s="2" t="n"/>
    </row>
    <row r="12" ht="22" customHeight="1">
      <c r="A12" s="2" t="n"/>
      <c r="B12" s="2" t="n"/>
      <c r="C12" s="2" t="n"/>
      <c r="D12" s="2" t="n"/>
      <c r="E12" s="2" t="n"/>
      <c r="F12" s="2" t="n"/>
      <c r="G12" s="2" t="n"/>
      <c r="H12" s="2" t="n"/>
    </row>
    <row r="13" ht="22" customHeight="1">
      <c r="A13" s="2" t="n"/>
      <c r="B13" s="2" t="n"/>
      <c r="C13" s="2" t="n"/>
      <c r="D13" s="2" t="n"/>
      <c r="E13" s="2" t="n"/>
      <c r="F13" s="2" t="n"/>
      <c r="G13" s="2" t="n"/>
      <c r="H13" s="2" t="n"/>
    </row>
    <row r="14" ht="22" customHeight="1">
      <c r="A14" s="1" t="inlineStr">
        <is>
          <t>Commodity</t>
        </is>
      </c>
      <c r="B14" s="1" t="inlineStr">
        <is>
          <t>Recommended Market</t>
        </is>
      </c>
      <c r="C14" s="1" t="inlineStr">
        <is>
          <t>Intl Margin/DMT</t>
        </is>
      </c>
      <c r="D14" s="1" t="inlineStr">
        <is>
          <t>Domestic Margin/DMT USD</t>
        </is>
      </c>
      <c r="E14" s="1" t="inlineStr">
        <is>
          <t>Total Intl Margin</t>
        </is>
      </c>
      <c r="F14" s="1" t="inlineStr">
        <is>
          <t>Total Domestic Margin USD</t>
        </is>
      </c>
      <c r="G14" s="1" t="inlineStr">
        <is>
          <t>Action</t>
        </is>
      </c>
      <c r="H14" s="2" t="n"/>
    </row>
    <row r="15" ht="22" customHeight="1">
      <c r="A15" s="2" t="inlineStr">
        <is>
          <t>Sb</t>
        </is>
      </c>
      <c r="B15" s="4">
        <f>Deal_Summary!I5</f>
        <v/>
      </c>
      <c r="C15" s="4">
        <f>Deal_Summary!G5</f>
        <v/>
      </c>
      <c r="D15" s="4">
        <f>Deal_Summary!H5</f>
        <v/>
      </c>
      <c r="E15" s="4">
        <f>Deal_Summary!J5</f>
        <v/>
      </c>
      <c r="F15" s="4">
        <f>Deal_Summary!K5</f>
        <v/>
      </c>
      <c r="G15" s="4">
        <f>IF(MAX(C15,D15)&gt;0,"Consider","Watch/No Go")</f>
        <v/>
      </c>
      <c r="H15" s="2" t="n"/>
    </row>
    <row r="16" ht="22" customHeight="1">
      <c r="A16" s="2" t="inlineStr">
        <is>
          <t>WO3</t>
        </is>
      </c>
      <c r="B16" s="4">
        <f>Deal_Summary!I6</f>
        <v/>
      </c>
      <c r="C16" s="4">
        <f>Deal_Summary!G6</f>
        <v/>
      </c>
      <c r="D16" s="4">
        <f>Deal_Summary!H6</f>
        <v/>
      </c>
      <c r="E16" s="4">
        <f>Deal_Summary!J6</f>
        <v/>
      </c>
      <c r="F16" s="4">
        <f>Deal_Summary!K6</f>
        <v/>
      </c>
      <c r="G16" s="4">
        <f>IF(MAX(C16,D16)&gt;0,"Consider","Watch/No Go")</f>
        <v/>
      </c>
      <c r="H16" s="2" t="n"/>
    </row>
    <row r="17" ht="22" customHeight="1">
      <c r="A17" s="2" t="inlineStr">
        <is>
          <t>Li2O</t>
        </is>
      </c>
      <c r="B17" s="4">
        <f>Deal_Summary!I7</f>
        <v/>
      </c>
      <c r="C17" s="4">
        <f>Deal_Summary!G7</f>
        <v/>
      </c>
      <c r="D17" s="4">
        <f>Deal_Summary!H7</f>
        <v/>
      </c>
      <c r="E17" s="4">
        <f>Deal_Summary!J7</f>
        <v/>
      </c>
      <c r="F17" s="4">
        <f>Deal_Summary!K7</f>
        <v/>
      </c>
      <c r="G17" s="4">
        <f>IF(MAX(C17,D17)&gt;0,"Consider","Watch/No Go")</f>
        <v/>
      </c>
      <c r="H17" s="2" t="n"/>
    </row>
    <row r="18" ht="22" customHeight="1">
      <c r="A18" s="2" t="inlineStr">
        <is>
          <t>Cu</t>
        </is>
      </c>
      <c r="B18" s="4">
        <f>Deal_Summary!I8</f>
        <v/>
      </c>
      <c r="C18" s="4">
        <f>Deal_Summary!G8</f>
        <v/>
      </c>
      <c r="D18" s="4">
        <f>Deal_Summary!H8</f>
        <v/>
      </c>
      <c r="E18" s="4">
        <f>Deal_Summary!J8</f>
        <v/>
      </c>
      <c r="F18" s="4">
        <f>Deal_Summary!K8</f>
        <v/>
      </c>
      <c r="G18" s="4">
        <f>IF(MAX(C18,D18)&gt;0,"Consider","Watch/No Go")</f>
        <v/>
      </c>
      <c r="H18" s="2" t="n"/>
    </row>
  </sheetData>
  <mergeCells count="2">
    <mergeCell ref="A2:H2"/>
    <mergeCell ref="A1:H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4" customWidth="1" min="3" max="3"/>
    <col width="16" customWidth="1" min="4" max="4"/>
    <col width="14" customWidth="1" min="5" max="5"/>
    <col width="20" customWidth="1" min="6" max="6"/>
    <col width="22" customWidth="1" min="7" max="7"/>
    <col width="20" customWidth="1" min="8" max="8"/>
    <col width="22" customWidth="1" min="9" max="9"/>
    <col width="18" customWidth="1" min="10" max="10"/>
    <col width="26" customWidth="1" min="11" max="11"/>
  </cols>
  <sheetData>
    <row r="1" ht="22" customHeight="1">
      <c r="A1" s="1" t="inlineStr">
        <is>
          <t>Scenario Analysis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</row>
    <row r="2" ht="22" customHeight="1">
      <c r="A2" s="2" t="inlineStr">
        <is>
          <t>Price sensitivity only; this sheet does not feed back into main models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</row>
    <row r="4" ht="22" customHeight="1">
      <c r="A4" s="1" t="inlineStr">
        <is>
          <t>Commodity</t>
        </is>
      </c>
      <c r="B4" s="1" t="inlineStr">
        <is>
          <t>Model</t>
        </is>
      </c>
      <c r="C4" s="1" t="inlineStr">
        <is>
          <t>Base Price</t>
        </is>
      </c>
      <c r="D4" s="1" t="inlineStr">
        <is>
          <t>Downside Price</t>
        </is>
      </c>
      <c r="E4" s="1" t="inlineStr">
        <is>
          <t>Upside Price</t>
        </is>
      </c>
      <c r="F4" s="1" t="inlineStr">
        <is>
          <t>Base Intl Margin/DMT</t>
        </is>
      </c>
      <c r="G4" s="1" t="inlineStr">
        <is>
          <t>Downside Revenue/DMT</t>
        </is>
      </c>
      <c r="H4" s="1" t="inlineStr">
        <is>
          <t>Upside Revenue/DMT</t>
        </is>
      </c>
      <c r="I4" s="1" t="inlineStr">
        <is>
          <t>Downside Margin/DMT</t>
        </is>
      </c>
      <c r="J4" s="1" t="inlineStr">
        <is>
          <t>Upside Margin/DMT</t>
        </is>
      </c>
      <c r="K4" s="1" t="inlineStr">
        <is>
          <t>Note</t>
        </is>
      </c>
    </row>
    <row r="5" ht="22" customHeight="1">
      <c r="A5" s="2" t="inlineStr">
        <is>
          <t>Sb</t>
        </is>
      </c>
      <c r="B5" s="2" t="inlineStr">
        <is>
          <t>Sb_Model</t>
        </is>
      </c>
      <c r="C5" s="7">
        <f>Index_Library!D5</f>
        <v/>
      </c>
      <c r="D5" s="7">
        <f>C5*0.9</f>
        <v/>
      </c>
      <c r="E5" s="7">
        <f>C5*1.1</f>
        <v/>
      </c>
      <c r="F5" s="7">
        <f>Sb_Model!B28</f>
        <v/>
      </c>
      <c r="G5" s="7">
        <f>Sb_Model!B20*0.9</f>
        <v/>
      </c>
      <c r="H5" s="7">
        <f>Sb_Model!B20*1.1</f>
        <v/>
      </c>
      <c r="I5" s="7">
        <f>F5-(Sb_Model!B20-G5)</f>
        <v/>
      </c>
      <c r="J5" s="4">
        <f>F5+(H5-Sb_Model!B20)</f>
        <v/>
      </c>
      <c r="K5" s="2" t="inlineStr">
        <is>
          <t>Simple price sensitivity</t>
        </is>
      </c>
    </row>
    <row r="6" ht="22" customHeight="1">
      <c r="A6" s="2" t="inlineStr">
        <is>
          <t>WO3</t>
        </is>
      </c>
      <c r="B6" s="2" t="inlineStr">
        <is>
          <t>WO3_Model</t>
        </is>
      </c>
      <c r="C6" s="7">
        <f>Index_Library!D6</f>
        <v/>
      </c>
      <c r="D6" s="7">
        <f>C6*0.9</f>
        <v/>
      </c>
      <c r="E6" s="7">
        <f>C6*1.1</f>
        <v/>
      </c>
      <c r="F6" s="7">
        <f>WO3_Model!B28</f>
        <v/>
      </c>
      <c r="G6" s="7">
        <f>WO3_Model!B20*0.9</f>
        <v/>
      </c>
      <c r="H6" s="7">
        <f>WO3_Model!B20*1.1</f>
        <v/>
      </c>
      <c r="I6" s="7">
        <f>F6-(WO3_Model!B20-G6)</f>
        <v/>
      </c>
      <c r="J6" s="4">
        <f>F6+(H6-WO3_Model!B20)</f>
        <v/>
      </c>
      <c r="K6" s="2" t="inlineStr">
        <is>
          <t>Simple price sensitivity</t>
        </is>
      </c>
    </row>
    <row r="7" ht="22" customHeight="1">
      <c r="A7" s="2" t="inlineStr">
        <is>
          <t>Li2O</t>
        </is>
      </c>
      <c r="B7" s="2" t="inlineStr">
        <is>
          <t>Li2O_Model</t>
        </is>
      </c>
      <c r="C7" s="7">
        <f>Index_Library!D7</f>
        <v/>
      </c>
      <c r="D7" s="7">
        <f>C7*0.9</f>
        <v/>
      </c>
      <c r="E7" s="7">
        <f>C7*1.1</f>
        <v/>
      </c>
      <c r="F7" s="7">
        <f>Li2O_Model!B28</f>
        <v/>
      </c>
      <c r="G7" s="7">
        <f>Li2O_Model!B20*0.9</f>
        <v/>
      </c>
      <c r="H7" s="7">
        <f>Li2O_Model!B20*1.1</f>
        <v/>
      </c>
      <c r="I7" s="7">
        <f>F7-(Li2O_Model!B20-G7)</f>
        <v/>
      </c>
      <c r="J7" s="4">
        <f>F7+(H7-Li2O_Model!B20)</f>
        <v/>
      </c>
      <c r="K7" s="2" t="inlineStr">
        <is>
          <t>Simple price sensitivity</t>
        </is>
      </c>
    </row>
    <row r="8" ht="22" customHeight="1">
      <c r="A8" s="2" t="inlineStr">
        <is>
          <t>Cu</t>
        </is>
      </c>
      <c r="B8" s="2" t="inlineStr">
        <is>
          <t>Cu_Model</t>
        </is>
      </c>
      <c r="C8" s="7">
        <f>Index_Library!D8</f>
        <v/>
      </c>
      <c r="D8" s="7">
        <f>C8*0.9</f>
        <v/>
      </c>
      <c r="E8" s="7">
        <f>C8*1.1</f>
        <v/>
      </c>
      <c r="F8" s="7">
        <f>Cu_Model!B28</f>
        <v/>
      </c>
      <c r="G8" s="7">
        <f>Cu_Model!B20*0.9</f>
        <v/>
      </c>
      <c r="H8" s="7">
        <f>Cu_Model!B20*1.1</f>
        <v/>
      </c>
      <c r="I8" s="7">
        <f>F8-(Cu_Model!B20-G8)</f>
        <v/>
      </c>
      <c r="J8" s="4">
        <f>F8+(H8-Cu_Model!B20)</f>
        <v/>
      </c>
      <c r="K8" s="2" t="inlineStr">
        <is>
          <t>Simple price sensitivity</t>
        </is>
      </c>
    </row>
  </sheetData>
  <mergeCells count="2">
    <mergeCell ref="A2:K2"/>
    <mergeCell ref="A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6" customWidth="1" min="4" max="4"/>
    <col width="34" customWidth="1" min="5" max="5"/>
    <col width="28" customWidth="1" min="6" max="6"/>
  </cols>
  <sheetData>
    <row r="1" ht="22" customHeight="1">
      <c r="A1" s="1" t="inlineStr">
        <is>
          <t>锑矿 Sb 独立计价模型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2" customHeight="1">
      <c r="A2" s="2" t="inlineStr">
        <is>
          <t>上游采购、公共物流、国际/国内下游报价与单票毛利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22" customHeight="1">
      <c r="A4" s="1" t="inlineStr">
        <is>
          <t>Input / Calc</t>
        </is>
      </c>
      <c r="B4" s="1" t="inlineStr">
        <is>
          <t>International</t>
        </is>
      </c>
      <c r="C4" s="1" t="inlineStr">
        <is>
          <t>Domestic</t>
        </is>
      </c>
      <c r="D4" s="1" t="inlineStr">
        <is>
          <t>Unit</t>
        </is>
      </c>
      <c r="E4" s="1" t="inlineStr">
        <is>
          <t>Description</t>
        </is>
      </c>
      <c r="F4" s="1" t="inlineStr">
        <is>
          <t>Check</t>
        </is>
      </c>
      <c r="G4" s="2" t="n"/>
      <c r="H4" s="2" t="n"/>
      <c r="I4" s="2" t="n"/>
    </row>
    <row r="5" ht="22" customHeight="1">
      <c r="A5" s="2" t="inlineStr">
        <is>
          <t>Commodity</t>
        </is>
      </c>
      <c r="B5" s="4">
        <f>Commodity_Config!A5</f>
        <v/>
      </c>
      <c r="C5" s="4">
        <f>Commodity_Config!A5</f>
        <v/>
      </c>
      <c r="D5" s="2" t="inlineStr">
        <is>
          <t>-</t>
        </is>
      </c>
      <c r="E5" s="2" t="inlineStr">
        <is>
          <t>矿种代码</t>
        </is>
      </c>
      <c r="F5" s="2" t="n"/>
      <c r="G5" s="2" t="n"/>
      <c r="H5" s="2" t="n"/>
      <c r="I5" s="2" t="n"/>
    </row>
    <row r="6" ht="22" customHeight="1">
      <c r="A6" s="2" t="inlineStr">
        <is>
          <t>WMT_Qty</t>
        </is>
      </c>
      <c r="B6" s="4">
        <f>Commodity_Config!C5</f>
        <v/>
      </c>
      <c r="C6" s="4">
        <f>Commodity_Config!C5</f>
        <v/>
      </c>
      <c r="D6" s="2" t="inlineStr">
        <is>
          <t>WMT</t>
        </is>
      </c>
      <c r="E6" s="2" t="inlineStr">
        <is>
          <t>湿吨</t>
        </is>
      </c>
      <c r="F6" s="4">
        <f>IF(AND(B7&gt;=0,B7&lt;=0.3),"OK","Check moisture")</f>
        <v/>
      </c>
      <c r="G6" s="2" t="n"/>
      <c r="H6" s="2" t="n"/>
      <c r="I6" s="2" t="n"/>
    </row>
    <row r="7" ht="22" customHeight="1">
      <c r="A7" s="2" t="inlineStr">
        <is>
          <t>Moisture</t>
        </is>
      </c>
      <c r="B7" s="8">
        <f>Commodity_Config!D5</f>
        <v/>
      </c>
      <c r="C7" s="8">
        <f>Commodity_Config!D5</f>
        <v/>
      </c>
      <c r="D7" s="2" t="inlineStr">
        <is>
          <t>%</t>
        </is>
      </c>
      <c r="E7" s="2" t="inlineStr">
        <is>
          <t>水分</t>
        </is>
      </c>
      <c r="F7" s="4">
        <f>IF(AND(B9&gt;0,B9&lt;1),"OK","Check grade")</f>
        <v/>
      </c>
      <c r="G7" s="2" t="n"/>
      <c r="H7" s="2" t="n"/>
      <c r="I7" s="2" t="n"/>
    </row>
    <row r="8" ht="22" customHeight="1">
      <c r="A8" s="2" t="inlineStr">
        <is>
          <t>DMT_Qty</t>
        </is>
      </c>
      <c r="B8" s="10">
        <f>B6*(1-B7)</f>
        <v/>
      </c>
      <c r="C8" s="10">
        <f>C6*(1-C7)</f>
        <v/>
      </c>
      <c r="D8" s="2" t="inlineStr">
        <is>
          <t>DMT</t>
        </is>
      </c>
      <c r="E8" s="2" t="inlineStr">
        <is>
          <t>干吨</t>
        </is>
      </c>
      <c r="F8" s="4">
        <f>IF(AND(B11&gt;0,B11&lt;=1,C11&gt;0,C11&lt;=1),"OK","Check payability")</f>
        <v/>
      </c>
      <c r="G8" s="2" t="n"/>
      <c r="H8" s="2" t="n"/>
      <c r="I8" s="2" t="n"/>
    </row>
    <row r="9" ht="22" customHeight="1">
      <c r="A9" s="2" t="inlineStr">
        <is>
          <t>Grade</t>
        </is>
      </c>
      <c r="B9" s="8">
        <f>Commodity_Config!E5</f>
        <v/>
      </c>
      <c r="C9" s="8">
        <f>Commodity_Config!E5</f>
        <v/>
      </c>
      <c r="D9" s="2" t="inlineStr">
        <is>
          <t>%</t>
        </is>
      </c>
      <c r="E9" s="2" t="inlineStr">
        <is>
          <t>干基品位</t>
        </is>
      </c>
      <c r="F9" s="2" t="n"/>
      <c r="G9" s="2" t="n"/>
      <c r="H9" s="2" t="n"/>
      <c r="I9" s="2" t="n"/>
    </row>
    <row r="10" ht="22" customHeight="1">
      <c r="A10" s="2" t="inlineStr">
        <is>
          <t>Benchmark Price</t>
        </is>
      </c>
      <c r="B10" s="10">
        <f>Index_Library!D5</f>
        <v/>
      </c>
      <c r="C10" s="10">
        <f>Index_Library!F5</f>
        <v/>
      </c>
      <c r="D10" s="2" t="inlineStr">
        <is>
          <t>Index</t>
        </is>
      </c>
      <c r="E10" s="2" t="inlineStr">
        <is>
          <t>价格基准</t>
        </is>
      </c>
      <c r="F10" s="2" t="n"/>
      <c r="G10" s="2" t="n"/>
      <c r="H10" s="2" t="n"/>
      <c r="I10" s="2" t="n"/>
    </row>
    <row r="11" ht="22" customHeight="1">
      <c r="A11" s="2" t="inlineStr">
        <is>
          <t>Payability</t>
        </is>
      </c>
      <c r="B11" s="8">
        <f>Commodity_Config!F5</f>
        <v/>
      </c>
      <c r="C11" s="8">
        <f>Commodity_Config!G5</f>
        <v/>
      </c>
      <c r="D11" s="2" t="inlineStr">
        <is>
          <t>%</t>
        </is>
      </c>
      <c r="E11" s="2" t="inlineStr">
        <is>
          <t>计价系数</t>
        </is>
      </c>
      <c r="F11" s="2" t="n"/>
      <c r="G11" s="2" t="n"/>
      <c r="H11" s="2" t="n"/>
      <c r="I11" s="2" t="n"/>
    </row>
    <row r="12" ht="22" customHeight="1">
      <c r="A12" s="2" t="inlineStr">
        <is>
          <t>Treatment Charge</t>
        </is>
      </c>
      <c r="B12" s="10">
        <f>Commodity_Config!J5</f>
        <v/>
      </c>
      <c r="C12" s="10">
        <f>Commodity_Config!K5</f>
        <v/>
      </c>
      <c r="D12" s="2" t="inlineStr">
        <is>
          <t>USD/RMB per DMT</t>
        </is>
      </c>
      <c r="E12" s="2" t="inlineStr">
        <is>
          <t>处理费</t>
        </is>
      </c>
      <c r="F12" s="2" t="n"/>
      <c r="G12" s="2" t="n"/>
      <c r="H12" s="2" t="n"/>
      <c r="I12" s="2" t="n"/>
    </row>
    <row r="13" ht="22" customHeight="1">
      <c r="A13" s="2" t="inlineStr">
        <is>
          <t>Penalty</t>
        </is>
      </c>
      <c r="B13" s="10">
        <f>Commodity_Config!L5</f>
        <v/>
      </c>
      <c r="C13" s="10">
        <f>Commodity_Config!L5*Global_Assumptions!B5</f>
        <v/>
      </c>
      <c r="D13" s="2" t="inlineStr">
        <is>
          <t>USD/RMB per DMT</t>
        </is>
      </c>
      <c r="E13" s="2" t="inlineStr">
        <is>
          <t>杂质罚扣</t>
        </is>
      </c>
      <c r="F13" s="2" t="n"/>
      <c r="G13" s="2" t="n"/>
      <c r="H13" s="2" t="n"/>
      <c r="I13" s="2" t="n"/>
    </row>
    <row r="14" ht="22" customHeight="1">
      <c r="A14" s="2" t="inlineStr">
        <is>
          <t>FX</t>
        </is>
      </c>
      <c r="B14" s="10">
        <f>Global_Assumptions!B5</f>
        <v/>
      </c>
      <c r="C14" s="10">
        <f>Global_Assumptions!B5</f>
        <v/>
      </c>
      <c r="D14" s="2" t="inlineStr">
        <is>
          <t>RMB/USD</t>
        </is>
      </c>
      <c r="E14" s="2" t="inlineStr">
        <is>
          <t>汇率</t>
        </is>
      </c>
      <c r="F14" s="2" t="n"/>
      <c r="G14" s="2" t="n"/>
      <c r="H14" s="2" t="n"/>
      <c r="I14" s="2" t="n"/>
    </row>
    <row r="15" ht="22" customHeight="1">
      <c r="A15" s="2" t="inlineStr">
        <is>
          <t>EXW Purchase Price</t>
        </is>
      </c>
      <c r="B15" s="10">
        <f>Commodity_Config!H5</f>
        <v/>
      </c>
      <c r="C15" s="10">
        <f>Commodity_Config!H5</f>
        <v/>
      </c>
      <c r="D15" s="2" t="inlineStr">
        <is>
          <t>USD</t>
        </is>
      </c>
      <c r="E15" s="2" t="inlineStr">
        <is>
          <t>上游EXW采购成本</t>
        </is>
      </c>
      <c r="F15" s="2" t="n"/>
      <c r="G15" s="2" t="n"/>
      <c r="H15" s="2" t="n"/>
      <c r="I15" s="2" t="n"/>
    </row>
    <row r="16" ht="22" customHeight="1">
      <c r="A16" s="2" t="inlineStr">
        <is>
          <t>Equivalent FOB Price</t>
        </is>
      </c>
      <c r="B16" s="10">
        <f>B15+(B6*(SUMIF(Logistics_Common!I5:I8,"Yes",Logistics_Common!D5:D8))+B8*(SUMIF(Logistics_Common!I9:I9,"Yes",Logistics_Common!E9:E9))+(SUMIF(Logistics_Common!I10:I12,"Yes",Logistics_Common!F10:F12)+IF(Logistics_Common!I16="Yes",Logistics_Common!F16,0)))/B8</f>
        <v/>
      </c>
      <c r="C16" s="10">
        <f>B16*$B$14</f>
        <v/>
      </c>
      <c r="D16" s="2" t="inlineStr">
        <is>
          <t>USD/RMB</t>
        </is>
      </c>
      <c r="E16" s="2" t="inlineStr">
        <is>
          <t>保本FOB等效价参考；按Compact口径折算</t>
        </is>
      </c>
      <c r="F16" s="2" t="n"/>
      <c r="G16" s="2" t="n"/>
      <c r="H16" s="2" t="n"/>
      <c r="I16" s="2" t="n"/>
    </row>
    <row r="17" ht="22" customHeight="1">
      <c r="A17" s="2" t="inlineStr">
        <is>
          <t>Actual FOB Offer</t>
        </is>
      </c>
      <c r="B17" s="4">
        <f>Commodity_Config!H5</f>
        <v/>
      </c>
      <c r="C17" s="4">
        <f>Commodity_Config!H5</f>
        <v/>
      </c>
      <c r="D17" s="2" t="inlineStr">
        <is>
          <t>USD</t>
        </is>
      </c>
      <c r="E17" s="2" t="inlineStr">
        <is>
          <t>客户FOB报价（可手动覆盖）</t>
        </is>
      </c>
      <c r="F17" s="2" t="n"/>
      <c r="G17" s="2" t="n"/>
      <c r="H17" s="2" t="n"/>
      <c r="I17" s="2" t="n"/>
    </row>
    <row r="18" ht="22" customHeight="1">
      <c r="A18" s="2" t="inlineStr">
        <is>
          <t>Purchase Basis</t>
        </is>
      </c>
      <c r="B18" s="10">
        <f>Commodity_Config!I5</f>
        <v/>
      </c>
      <c r="C18" s="10">
        <f>Commodity_Config!I5</f>
        <v/>
      </c>
      <c r="D18" s="2" t="inlineStr">
        <is>
          <t>-</t>
        </is>
      </c>
      <c r="E18" s="2" t="inlineStr">
        <is>
          <t>采购计价口径</t>
        </is>
      </c>
      <c r="F18" s="2" t="n"/>
      <c r="G18" s="2" t="n"/>
      <c r="H18" s="2" t="n"/>
      <c r="I18" s="2" t="n"/>
    </row>
    <row r="19" ht="22" customHeight="1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</row>
    <row r="20" ht="22" customHeight="1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</row>
    <row r="21" ht="22" customHeight="1">
      <c r="A21" s="1" t="inlineStr">
        <is>
          <t>Calculation</t>
        </is>
      </c>
      <c r="B21" s="1" t="inlineStr">
        <is>
          <t>International USD</t>
        </is>
      </c>
      <c r="C21" s="1" t="inlineStr">
        <is>
          <t>Domestic RMB</t>
        </is>
      </c>
      <c r="D21" s="1" t="inlineStr">
        <is>
          <t>Domestic USD</t>
        </is>
      </c>
      <c r="E21" s="1" t="inlineStr">
        <is>
          <t>Description</t>
        </is>
      </c>
      <c r="F21" s="1" t="inlineStr">
        <is>
          <t>Formula Note</t>
        </is>
      </c>
      <c r="G21" s="2" t="n"/>
      <c r="H21" s="2" t="n"/>
      <c r="I21" s="2" t="n"/>
    </row>
    <row r="22" ht="22" customHeight="1">
      <c r="A22" s="2" t="inlineStr">
        <is>
          <t>Revenue / DMT</t>
        </is>
      </c>
      <c r="B22" s="7">
        <f>(B9+Assay_Adjustment!D5)*B10*(B11+Assay_Adjustment!F5)-B12-B13-Assay_Adjustment!G5</f>
        <v/>
      </c>
      <c r="C22" s="7">
        <f>(C9+Assay_Adjustment!D5)*C10*(C11+Assay_Adjustment!F5)-C12-C13-Assay_Adjustment!H5</f>
        <v/>
      </c>
      <c r="D22" s="7">
        <f>C22/$B$14</f>
        <v/>
      </c>
      <c r="E22" s="2" t="inlineStr">
        <is>
          <t>扣TC和罚扣后的下游净收入</t>
        </is>
      </c>
      <c r="F22" s="2" t="inlineStr">
        <is>
          <t>按矿种公式</t>
        </is>
      </c>
      <c r="G22" s="2" t="n"/>
      <c r="H22" s="2" t="n"/>
      <c r="I22" s="2" t="n"/>
    </row>
    <row r="23" ht="22" customHeight="1">
      <c r="A23" s="2" t="inlineStr">
        <is>
          <t>Sales Revenue</t>
        </is>
      </c>
      <c r="B23" s="7">
        <f>B22*B8</f>
        <v/>
      </c>
      <c r="C23" s="7">
        <f>C22*C8</f>
        <v/>
      </c>
      <c r="D23" s="7">
        <f>C23/$B$14</f>
        <v/>
      </c>
      <c r="E23" s="2" t="inlineStr">
        <is>
          <t>单票销售收入</t>
        </is>
      </c>
      <c r="F23" s="2" t="inlineStr">
        <is>
          <t>Revenue/DMT × DMT</t>
        </is>
      </c>
      <c r="G23" s="2" t="n"/>
      <c r="H23" s="2" t="n"/>
      <c r="I23" s="2" t="n"/>
    </row>
    <row r="24" ht="22" customHeight="1">
      <c r="A24" s="2" t="inlineStr">
        <is>
          <t>Purchase Cost Total</t>
        </is>
      </c>
      <c r="B24" s="7">
        <f>IF(Incoterms_Config!B5="FOB",B8*B17,B8*B15)</f>
        <v/>
      </c>
      <c r="C24" s="7">
        <f>B24*$B$14</f>
        <v/>
      </c>
      <c r="D24" s="7">
        <f>C24/$B$14</f>
        <v/>
      </c>
      <c r="E24" s="2" t="inlineStr">
        <is>
          <t>上游采购成本（FOB/EXW切换）</t>
        </is>
      </c>
      <c r="F24" s="2" t="inlineStr">
        <is>
          <t>Incoterms_Config驱动</t>
        </is>
      </c>
      <c r="G24" s="2" t="n"/>
      <c r="H24" s="2" t="n"/>
      <c r="I24" s="2" t="n"/>
    </row>
    <row r="25" ht="22" customHeight="1">
      <c r="A25" s="2" t="inlineStr">
        <is>
          <t>Logistics Base</t>
        </is>
      </c>
      <c r="B25" s="7">
        <f>IF(Incoterms_Config!B5="FOB",0,B6*Logistics_Common!B20+B8*Logistics_Common!B21+Logistics_Common!B22)</f>
        <v/>
      </c>
      <c r="C25" s="7">
        <f>IF(Incoterms_Config!B5="FOB",0,B6*Logistics_Common!B20+B8*Logistics_Common!B21+Logistics_Common!B22)*$B$14</f>
        <v/>
      </c>
      <c r="D25" s="7">
        <f>C25/$B$14</f>
        <v/>
      </c>
      <c r="E25" s="2" t="inlineStr">
        <is>
          <t>WMT/DMT/Fixed公共物流</t>
        </is>
      </c>
      <c r="F25" s="2" t="inlineStr">
        <is>
          <t>FOB时归零</t>
        </is>
      </c>
      <c r="G25" s="2" t="n"/>
      <c r="H25" s="2" t="n"/>
      <c r="I25" s="2" t="n"/>
    </row>
    <row r="26" ht="22" customHeight="1">
      <c r="A26" s="2" t="inlineStr">
        <is>
          <t>Value Based Fees</t>
        </is>
      </c>
      <c r="B26" s="7">
        <f>IF(Incoterms_Config!G5="Yes",B23*Logistics_Common!B23,0)</f>
        <v/>
      </c>
      <c r="C26" s="7">
        <f>IF(Incoterms_Config!G5="Yes",C23*Logistics_Common!B23,0)</f>
        <v/>
      </c>
      <c r="D26" s="7">
        <f>C26/$B$14</f>
        <v/>
      </c>
      <c r="E26" s="2" t="inlineStr">
        <is>
          <t>保险、银行等（FOB时归零）</t>
        </is>
      </c>
      <c r="F26" s="2" t="inlineStr">
        <is>
          <t>Include Insurance驱动</t>
        </is>
      </c>
      <c r="G26" s="2" t="n"/>
      <c r="H26" s="2" t="n"/>
      <c r="I26" s="2" t="n"/>
    </row>
    <row r="27" ht="22" customHeight="1">
      <c r="A27" s="2" t="inlineStr">
        <is>
          <t>Contingency</t>
        </is>
      </c>
      <c r="B27" s="7">
        <f>IF(Incoterms_Config!B5="FOB",0,(B24+B25+B26)*Logistics_Common!B24)</f>
        <v/>
      </c>
      <c r="C27" s="7">
        <f>IF(Incoterms_Config!B5="FOB",0,(C24+C25+C26)*Logistics_Common!B24)</f>
        <v/>
      </c>
      <c r="D27" s="7">
        <f>C27/$B$14</f>
        <v/>
      </c>
      <c r="E27" s="2" t="inlineStr">
        <is>
          <t>应急缓冲（FOB时归零）</t>
        </is>
      </c>
      <c r="F27" s="2" t="inlineStr">
        <is>
          <t>% Cost</t>
        </is>
      </c>
      <c r="G27" s="2" t="n"/>
      <c r="H27" s="2" t="n"/>
      <c r="I27" s="2" t="n"/>
    </row>
    <row r="28" ht="22" customHeight="1">
      <c r="A28" s="2" t="inlineStr">
        <is>
          <t>Total Cost</t>
        </is>
      </c>
      <c r="B28" s="7">
        <f>SUM(B24:B27)</f>
        <v/>
      </c>
      <c r="C28" s="7">
        <f>SUM(C24:C27)</f>
        <v/>
      </c>
      <c r="D28" s="7">
        <f>C28/$B$14</f>
        <v/>
      </c>
      <c r="E28" s="2" t="inlineStr">
        <is>
          <t>采购+物流+费用+缓冲</t>
        </is>
      </c>
      <c r="F28" s="2" t="inlineStr">
        <is>
          <t>总成本</t>
        </is>
      </c>
      <c r="G28" s="2" t="n"/>
      <c r="H28" s="2" t="n"/>
      <c r="I28" s="2" t="n"/>
    </row>
    <row r="29" ht="22" customHeight="1">
      <c r="A29" s="2" t="inlineStr">
        <is>
          <t>Net Margin</t>
        </is>
      </c>
      <c r="B29" s="7">
        <f>B23-B28</f>
        <v/>
      </c>
      <c r="C29" s="7">
        <f>C23-C28</f>
        <v/>
      </c>
      <c r="D29" s="7">
        <f>C29/$B$14</f>
        <v/>
      </c>
      <c r="E29" s="2" t="inlineStr">
        <is>
          <t>单票毛利</t>
        </is>
      </c>
      <c r="F29" s="2" t="inlineStr">
        <is>
          <t>收入-总成本</t>
        </is>
      </c>
      <c r="G29" s="2" t="n"/>
      <c r="H29" s="2" t="n"/>
      <c r="I29" s="2" t="n"/>
    </row>
    <row r="30" ht="22" customHeight="1">
      <c r="A30" s="2" t="inlineStr">
        <is>
          <t>Margin / DMT</t>
        </is>
      </c>
      <c r="B30" s="7">
        <f>B29/B8</f>
        <v/>
      </c>
      <c r="C30" s="7">
        <f>C29/C8</f>
        <v/>
      </c>
      <c r="D30" s="7">
        <f>D29/B8</f>
        <v/>
      </c>
      <c r="E30" s="2" t="inlineStr">
        <is>
          <t>折合单干吨毛利</t>
        </is>
      </c>
      <c r="F30" s="2" t="inlineStr">
        <is>
          <t>毛利/DMT</t>
        </is>
      </c>
      <c r="G30" s="2" t="n"/>
      <c r="H30" s="2" t="n"/>
      <c r="I30" s="2" t="n"/>
    </row>
    <row r="31" ht="22" customHeight="1">
      <c r="A31" s="2" t="inlineStr">
        <is>
          <t>Gross Margin %</t>
        </is>
      </c>
      <c r="B31" s="8">
        <f>B29/B23</f>
        <v/>
      </c>
      <c r="C31" s="8">
        <f>C29/C23</f>
        <v/>
      </c>
      <c r="D31" s="8">
        <f>D29/D23</f>
        <v/>
      </c>
      <c r="E31" s="2" t="inlineStr">
        <is>
          <t>毛利率</t>
        </is>
      </c>
      <c r="F31" s="2" t="inlineStr">
        <is>
          <t>毛利/收入</t>
        </is>
      </c>
      <c r="G31" s="2" t="n"/>
      <c r="H31" s="2" t="n"/>
      <c r="I31" s="2" t="n"/>
    </row>
    <row r="32" ht="22" customHeight="1">
      <c r="A32" s="2" t="inlineStr">
        <is>
          <t>Recommended Market</t>
        </is>
      </c>
      <c r="B32" s="7">
        <f>IF(B30&gt;D30,"International","Domestic")</f>
        <v/>
      </c>
      <c r="C32" s="7" t="inlineStr"/>
      <c r="D32" s="7" t="inlineStr"/>
      <c r="E32" s="2" t="inlineStr">
        <is>
          <t>市场建议</t>
        </is>
      </c>
      <c r="F32" s="2" t="inlineStr">
        <is>
          <t>比较USD口径</t>
        </is>
      </c>
      <c r="G32" s="2" t="n"/>
      <c r="H32" s="2" t="n"/>
      <c r="I32" s="2" t="n"/>
    </row>
  </sheetData>
  <mergeCells count="2">
    <mergeCell ref="A1:I1"/>
    <mergeCell ref="A2:I2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6" customWidth="1" min="4" max="4"/>
    <col width="34" customWidth="1" min="5" max="5"/>
    <col width="28" customWidth="1" min="6" max="6"/>
  </cols>
  <sheetData>
    <row r="1" ht="22" customHeight="1">
      <c r="A1" s="1" t="inlineStr">
        <is>
          <t>钨矿 WO3 独立计价模型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2" customHeight="1">
      <c r="A2" s="2" t="inlineStr">
        <is>
          <t>上游采购、公共物流、国际/国内下游报价与单票毛利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22" customHeight="1">
      <c r="A4" s="1" t="inlineStr">
        <is>
          <t>Input / Calc</t>
        </is>
      </c>
      <c r="B4" s="1" t="inlineStr">
        <is>
          <t>International</t>
        </is>
      </c>
      <c r="C4" s="1" t="inlineStr">
        <is>
          <t>Domestic</t>
        </is>
      </c>
      <c r="D4" s="1" t="inlineStr">
        <is>
          <t>Unit</t>
        </is>
      </c>
      <c r="E4" s="1" t="inlineStr">
        <is>
          <t>Description</t>
        </is>
      </c>
      <c r="F4" s="1" t="inlineStr">
        <is>
          <t>Check</t>
        </is>
      </c>
      <c r="G4" s="2" t="n"/>
      <c r="H4" s="2" t="n"/>
      <c r="I4" s="2" t="n"/>
    </row>
    <row r="5" ht="22" customHeight="1">
      <c r="A5" s="2" t="inlineStr">
        <is>
          <t>Commodity</t>
        </is>
      </c>
      <c r="B5" s="4">
        <f>Commodity_Config!A6</f>
        <v/>
      </c>
      <c r="C5" s="4">
        <f>Commodity_Config!A6</f>
        <v/>
      </c>
      <c r="D5" s="2" t="inlineStr">
        <is>
          <t>-</t>
        </is>
      </c>
      <c r="E5" s="2" t="inlineStr">
        <is>
          <t>矿种代码</t>
        </is>
      </c>
      <c r="F5" s="2" t="n"/>
      <c r="G5" s="2" t="n"/>
      <c r="H5" s="2" t="n"/>
      <c r="I5" s="2" t="n"/>
    </row>
    <row r="6" ht="22" customHeight="1">
      <c r="A6" s="2" t="inlineStr">
        <is>
          <t>WMT_Qty</t>
        </is>
      </c>
      <c r="B6" s="4">
        <f>Commodity_Config!C6</f>
        <v/>
      </c>
      <c r="C6" s="4">
        <f>Commodity_Config!C6</f>
        <v/>
      </c>
      <c r="D6" s="2" t="inlineStr">
        <is>
          <t>WMT</t>
        </is>
      </c>
      <c r="E6" s="2" t="inlineStr">
        <is>
          <t>湿吨</t>
        </is>
      </c>
      <c r="F6" s="4">
        <f>IF(AND(B7&gt;=0,B7&lt;=0.3),"OK","Check moisture")</f>
        <v/>
      </c>
      <c r="G6" s="2" t="n"/>
      <c r="H6" s="2" t="n"/>
      <c r="I6" s="2" t="n"/>
    </row>
    <row r="7" ht="22" customHeight="1">
      <c r="A7" s="2" t="inlineStr">
        <is>
          <t>Moisture</t>
        </is>
      </c>
      <c r="B7" s="8">
        <f>Commodity_Config!D6</f>
        <v/>
      </c>
      <c r="C7" s="8">
        <f>Commodity_Config!D6</f>
        <v/>
      </c>
      <c r="D7" s="2" t="inlineStr">
        <is>
          <t>%</t>
        </is>
      </c>
      <c r="E7" s="2" t="inlineStr">
        <is>
          <t>水分</t>
        </is>
      </c>
      <c r="F7" s="4">
        <f>IF(AND(B9&gt;0,B9&lt;1),"OK","Check grade")</f>
        <v/>
      </c>
      <c r="G7" s="2" t="n"/>
      <c r="H7" s="2" t="n"/>
      <c r="I7" s="2" t="n"/>
    </row>
    <row r="8" ht="22" customHeight="1">
      <c r="A8" s="2" t="inlineStr">
        <is>
          <t>DMT_Qty</t>
        </is>
      </c>
      <c r="B8" s="10">
        <f>B6*(1-B7)</f>
        <v/>
      </c>
      <c r="C8" s="10">
        <f>C6*(1-C7)</f>
        <v/>
      </c>
      <c r="D8" s="2" t="inlineStr">
        <is>
          <t>DMT</t>
        </is>
      </c>
      <c r="E8" s="2" t="inlineStr">
        <is>
          <t>干吨</t>
        </is>
      </c>
      <c r="F8" s="4">
        <f>IF(AND(B11&gt;0,B11&lt;=1,C11&gt;0,C11&lt;=1),"OK","Check payability")</f>
        <v/>
      </c>
      <c r="G8" s="2" t="n"/>
      <c r="H8" s="2" t="n"/>
      <c r="I8" s="2" t="n"/>
    </row>
    <row r="9" ht="22" customHeight="1">
      <c r="A9" s="2" t="inlineStr">
        <is>
          <t>Grade</t>
        </is>
      </c>
      <c r="B9" s="8">
        <f>Commodity_Config!E6</f>
        <v/>
      </c>
      <c r="C9" s="8">
        <f>Commodity_Config!E6</f>
        <v/>
      </c>
      <c r="D9" s="2" t="inlineStr">
        <is>
          <t>%</t>
        </is>
      </c>
      <c r="E9" s="2" t="inlineStr">
        <is>
          <t>干基品位</t>
        </is>
      </c>
      <c r="F9" s="2" t="n"/>
      <c r="G9" s="2" t="n"/>
      <c r="H9" s="2" t="n"/>
      <c r="I9" s="2" t="n"/>
    </row>
    <row r="10" ht="22" customHeight="1">
      <c r="A10" s="2" t="inlineStr">
        <is>
          <t>Benchmark Price</t>
        </is>
      </c>
      <c r="B10" s="10">
        <f>Index_Library!D6</f>
        <v/>
      </c>
      <c r="C10" s="10">
        <f>Index_Library!F6</f>
        <v/>
      </c>
      <c r="D10" s="2" t="inlineStr">
        <is>
          <t>Index</t>
        </is>
      </c>
      <c r="E10" s="2" t="inlineStr">
        <is>
          <t>价格基准</t>
        </is>
      </c>
      <c r="F10" s="2" t="n"/>
      <c r="G10" s="2" t="n"/>
      <c r="H10" s="2" t="n"/>
      <c r="I10" s="2" t="n"/>
    </row>
    <row r="11" ht="22" customHeight="1">
      <c r="A11" s="2" t="inlineStr">
        <is>
          <t>Payability</t>
        </is>
      </c>
      <c r="B11" s="8">
        <f>Commodity_Config!F6</f>
        <v/>
      </c>
      <c r="C11" s="8">
        <f>Commodity_Config!G6</f>
        <v/>
      </c>
      <c r="D11" s="2" t="inlineStr">
        <is>
          <t>%</t>
        </is>
      </c>
      <c r="E11" s="2" t="inlineStr">
        <is>
          <t>计价系数</t>
        </is>
      </c>
      <c r="F11" s="2" t="n"/>
      <c r="G11" s="2" t="n"/>
      <c r="H11" s="2" t="n"/>
      <c r="I11" s="2" t="n"/>
    </row>
    <row r="12" ht="22" customHeight="1">
      <c r="A12" s="2" t="inlineStr">
        <is>
          <t>Treatment Charge</t>
        </is>
      </c>
      <c r="B12" s="10">
        <f>Commodity_Config!J6</f>
        <v/>
      </c>
      <c r="C12" s="10">
        <f>Commodity_Config!K6</f>
        <v/>
      </c>
      <c r="D12" s="2" t="inlineStr">
        <is>
          <t>USD/RMB per DMT</t>
        </is>
      </c>
      <c r="E12" s="2" t="inlineStr">
        <is>
          <t>处理费</t>
        </is>
      </c>
      <c r="F12" s="2" t="n"/>
      <c r="G12" s="2" t="n"/>
      <c r="H12" s="2" t="n"/>
      <c r="I12" s="2" t="n"/>
    </row>
    <row r="13" ht="22" customHeight="1">
      <c r="A13" s="2" t="inlineStr">
        <is>
          <t>Penalty</t>
        </is>
      </c>
      <c r="B13" s="10">
        <f>Commodity_Config!L6</f>
        <v/>
      </c>
      <c r="C13" s="10">
        <f>Commodity_Config!L6*Global_Assumptions!B5</f>
        <v/>
      </c>
      <c r="D13" s="2" t="inlineStr">
        <is>
          <t>USD/RMB per DMT</t>
        </is>
      </c>
      <c r="E13" s="2" t="inlineStr">
        <is>
          <t>杂质罚扣</t>
        </is>
      </c>
      <c r="F13" s="2" t="n"/>
      <c r="G13" s="2" t="n"/>
      <c r="H13" s="2" t="n"/>
      <c r="I13" s="2" t="n"/>
    </row>
    <row r="14" ht="22" customHeight="1">
      <c r="A14" s="2" t="inlineStr">
        <is>
          <t>FX</t>
        </is>
      </c>
      <c r="B14" s="10">
        <f>Global_Assumptions!B5</f>
        <v/>
      </c>
      <c r="C14" s="10">
        <f>Global_Assumptions!B5</f>
        <v/>
      </c>
      <c r="D14" s="2" t="inlineStr">
        <is>
          <t>RMB/USD</t>
        </is>
      </c>
      <c r="E14" s="2" t="inlineStr">
        <is>
          <t>汇率</t>
        </is>
      </c>
      <c r="F14" s="2" t="n"/>
      <c r="G14" s="2" t="n"/>
      <c r="H14" s="2" t="n"/>
      <c r="I14" s="2" t="n"/>
    </row>
    <row r="15" ht="22" customHeight="1">
      <c r="A15" s="2" t="inlineStr">
        <is>
          <t>EXW Purchase Price</t>
        </is>
      </c>
      <c r="B15" s="10">
        <f>Commodity_Config!H6</f>
        <v/>
      </c>
      <c r="C15" s="10">
        <f>Commodity_Config!H6</f>
        <v/>
      </c>
      <c r="D15" s="2" t="inlineStr">
        <is>
          <t>USD</t>
        </is>
      </c>
      <c r="E15" s="2" t="inlineStr">
        <is>
          <t>上游EXW采购成本</t>
        </is>
      </c>
      <c r="F15" s="2" t="n"/>
      <c r="G15" s="2" t="n"/>
      <c r="H15" s="2" t="n"/>
      <c r="I15" s="2" t="n"/>
    </row>
    <row r="16" ht="22" customHeight="1">
      <c r="A16" s="2" t="inlineStr">
        <is>
          <t>Equivalent FOB Price</t>
        </is>
      </c>
      <c r="B16" s="10">
        <f>B15+(B6*(SUMIF(Logistics_Common!I5:I8,"Yes",Logistics_Common!D5:D8))+B8*(SUMIF(Logistics_Common!I9:I9,"Yes",Logistics_Common!E9:E9))+(SUMIF(Logistics_Common!I10:I12,"Yes",Logistics_Common!F10:F12)+IF(Logistics_Common!I16="Yes",Logistics_Common!F16,0)))/(B8*B9*100)</f>
        <v/>
      </c>
      <c r="C16" s="10">
        <f>B16*$B$14</f>
        <v/>
      </c>
      <c r="D16" s="2" t="inlineStr">
        <is>
          <t>USD/RMB</t>
        </is>
      </c>
      <c r="E16" s="2" t="inlineStr">
        <is>
          <t>保本FOB等效价参考；按Compact口径折算</t>
        </is>
      </c>
      <c r="F16" s="2" t="n"/>
      <c r="G16" s="2" t="n"/>
      <c r="H16" s="2" t="n"/>
      <c r="I16" s="2" t="n"/>
    </row>
    <row r="17" ht="22" customHeight="1">
      <c r="A17" s="2" t="inlineStr">
        <is>
          <t>Actual FOB Offer</t>
        </is>
      </c>
      <c r="B17" s="4">
        <f>Commodity_Config!H6</f>
        <v/>
      </c>
      <c r="C17" s="4">
        <f>Commodity_Config!H6</f>
        <v/>
      </c>
      <c r="D17" s="2" t="inlineStr">
        <is>
          <t>USD</t>
        </is>
      </c>
      <c r="E17" s="2" t="inlineStr">
        <is>
          <t>客户FOB报价（可手动覆盖）</t>
        </is>
      </c>
      <c r="F17" s="2" t="n"/>
      <c r="G17" s="2" t="n"/>
      <c r="H17" s="2" t="n"/>
      <c r="I17" s="2" t="n"/>
    </row>
    <row r="18" ht="22" customHeight="1">
      <c r="A18" s="2" t="inlineStr">
        <is>
          <t>Purchase Basis</t>
        </is>
      </c>
      <c r="B18" s="10">
        <f>Commodity_Config!I6</f>
        <v/>
      </c>
      <c r="C18" s="10">
        <f>Commodity_Config!I6</f>
        <v/>
      </c>
      <c r="D18" s="2" t="inlineStr">
        <is>
          <t>-</t>
        </is>
      </c>
      <c r="E18" s="2" t="inlineStr">
        <is>
          <t>采购计价口径</t>
        </is>
      </c>
      <c r="F18" s="2" t="n"/>
      <c r="G18" s="2" t="n"/>
      <c r="H18" s="2" t="n"/>
      <c r="I18" s="2" t="n"/>
    </row>
    <row r="19" ht="22" customHeight="1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</row>
    <row r="20" ht="22" customHeight="1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</row>
    <row r="21" ht="22" customHeight="1">
      <c r="A21" s="1" t="inlineStr">
        <is>
          <t>Calculation</t>
        </is>
      </c>
      <c r="B21" s="1" t="inlineStr">
        <is>
          <t>International USD</t>
        </is>
      </c>
      <c r="C21" s="1" t="inlineStr">
        <is>
          <t>Domestic RMB</t>
        </is>
      </c>
      <c r="D21" s="1" t="inlineStr">
        <is>
          <t>Domestic USD</t>
        </is>
      </c>
      <c r="E21" s="1" t="inlineStr">
        <is>
          <t>Description</t>
        </is>
      </c>
      <c r="F21" s="1" t="inlineStr">
        <is>
          <t>Formula Note</t>
        </is>
      </c>
      <c r="G21" s="2" t="n"/>
      <c r="H21" s="2" t="n"/>
      <c r="I21" s="2" t="n"/>
    </row>
    <row r="22" ht="22" customHeight="1">
      <c r="A22" s="2" t="inlineStr">
        <is>
          <t>Revenue / DMT</t>
        </is>
      </c>
      <c r="B22" s="7">
        <f>(B9+Assay_Adjustment!D6)*100*B10*(B11+Assay_Adjustment!F6)-B12-B13-Assay_Adjustment!G6</f>
        <v/>
      </c>
      <c r="C22" s="7">
        <f>(C9+Assay_Adjustment!D6)*100*C10*(C11+Assay_Adjustment!F6)-C12-C13-Assay_Adjustment!H6</f>
        <v/>
      </c>
      <c r="D22" s="7">
        <f>C22/$B$14</f>
        <v/>
      </c>
      <c r="E22" s="2" t="inlineStr">
        <is>
          <t>扣TC和罚扣后的下游净收入</t>
        </is>
      </c>
      <c r="F22" s="2" t="inlineStr">
        <is>
          <t>按矿种公式</t>
        </is>
      </c>
      <c r="G22" s="2" t="n"/>
      <c r="H22" s="2" t="n"/>
      <c r="I22" s="2" t="n"/>
    </row>
    <row r="23" ht="22" customHeight="1">
      <c r="A23" s="2" t="inlineStr">
        <is>
          <t>Sales Revenue</t>
        </is>
      </c>
      <c r="B23" s="7">
        <f>B22*B8</f>
        <v/>
      </c>
      <c r="C23" s="7">
        <f>C22*C8</f>
        <v/>
      </c>
      <c r="D23" s="7">
        <f>C23/$B$14</f>
        <v/>
      </c>
      <c r="E23" s="2" t="inlineStr">
        <is>
          <t>单票销售收入</t>
        </is>
      </c>
      <c r="F23" s="2" t="inlineStr">
        <is>
          <t>Revenue/DMT × DMT</t>
        </is>
      </c>
      <c r="G23" s="2" t="n"/>
      <c r="H23" s="2" t="n"/>
      <c r="I23" s="2" t="n"/>
    </row>
    <row r="24" ht="22" customHeight="1">
      <c r="A24" s="2" t="inlineStr">
        <is>
          <t>Purchase Cost Total</t>
        </is>
      </c>
      <c r="B24" s="7">
        <f>IF(Incoterms_Config!B6="FOB",B8*B9*100*B17,B8*B9*100*B15)</f>
        <v/>
      </c>
      <c r="C24" s="7">
        <f>B24*$B$14</f>
        <v/>
      </c>
      <c r="D24" s="7">
        <f>C24/$B$14</f>
        <v/>
      </c>
      <c r="E24" s="2" t="inlineStr">
        <is>
          <t>上游采购成本（FOB/EXW切换）</t>
        </is>
      </c>
      <c r="F24" s="2" t="inlineStr">
        <is>
          <t>Incoterms_Config驱动</t>
        </is>
      </c>
      <c r="G24" s="2" t="n"/>
      <c r="H24" s="2" t="n"/>
      <c r="I24" s="2" t="n"/>
    </row>
    <row r="25" ht="22" customHeight="1">
      <c r="A25" s="2" t="inlineStr">
        <is>
          <t>Logistics Base</t>
        </is>
      </c>
      <c r="B25" s="7">
        <f>IF(Incoterms_Config!B6="FOB",0,B6*Logistics_Common!B20+B8*Logistics_Common!B21+Logistics_Common!B22)</f>
        <v/>
      </c>
      <c r="C25" s="7">
        <f>IF(Incoterms_Config!B6="FOB",0,B6*Logistics_Common!B20+B8*Logistics_Common!B21+Logistics_Common!B22)*$B$14</f>
        <v/>
      </c>
      <c r="D25" s="7">
        <f>C25/$B$14</f>
        <v/>
      </c>
      <c r="E25" s="2" t="inlineStr">
        <is>
          <t>WMT/DMT/Fixed公共物流</t>
        </is>
      </c>
      <c r="F25" s="2" t="inlineStr">
        <is>
          <t>FOB时归零</t>
        </is>
      </c>
      <c r="G25" s="2" t="n"/>
      <c r="H25" s="2" t="n"/>
      <c r="I25" s="2" t="n"/>
    </row>
    <row r="26" ht="22" customHeight="1">
      <c r="A26" s="2" t="inlineStr">
        <is>
          <t>Value Based Fees</t>
        </is>
      </c>
      <c r="B26" s="7">
        <f>IF(Incoterms_Config!G6="Yes",B23*Logistics_Common!B23,0)</f>
        <v/>
      </c>
      <c r="C26" s="7">
        <f>IF(Incoterms_Config!G6="Yes",C23*Logistics_Common!B23,0)</f>
        <v/>
      </c>
      <c r="D26" s="7">
        <f>C26/$B$14</f>
        <v/>
      </c>
      <c r="E26" s="2" t="inlineStr">
        <is>
          <t>保险、银行等（FOB时归零）</t>
        </is>
      </c>
      <c r="F26" s="2" t="inlineStr">
        <is>
          <t>Include Insurance驱动</t>
        </is>
      </c>
      <c r="G26" s="2" t="n"/>
      <c r="H26" s="2" t="n"/>
      <c r="I26" s="2" t="n"/>
    </row>
    <row r="27" ht="22" customHeight="1">
      <c r="A27" s="2" t="inlineStr">
        <is>
          <t>Contingency</t>
        </is>
      </c>
      <c r="B27" s="7">
        <f>IF(Incoterms_Config!B6="FOB",0,(B24+B25+B26)*Logistics_Common!B24)</f>
        <v/>
      </c>
      <c r="C27" s="7">
        <f>IF(Incoterms_Config!B6="FOB",0,(C24+C25+C26)*Logistics_Common!B24)</f>
        <v/>
      </c>
      <c r="D27" s="7">
        <f>C27/$B$14</f>
        <v/>
      </c>
      <c r="E27" s="2" t="inlineStr">
        <is>
          <t>应急缓冲（FOB时归零）</t>
        </is>
      </c>
      <c r="F27" s="2" t="inlineStr">
        <is>
          <t>% Cost</t>
        </is>
      </c>
      <c r="G27" s="2" t="n"/>
      <c r="H27" s="2" t="n"/>
      <c r="I27" s="2" t="n"/>
    </row>
    <row r="28" ht="22" customHeight="1">
      <c r="A28" s="2" t="inlineStr">
        <is>
          <t>Total Cost</t>
        </is>
      </c>
      <c r="B28" s="7">
        <f>SUM(B24:B27)</f>
        <v/>
      </c>
      <c r="C28" s="7">
        <f>SUM(C24:C27)</f>
        <v/>
      </c>
      <c r="D28" s="7">
        <f>C28/$B$14</f>
        <v/>
      </c>
      <c r="E28" s="2" t="inlineStr">
        <is>
          <t>采购+物流+费用+缓冲</t>
        </is>
      </c>
      <c r="F28" s="2" t="inlineStr">
        <is>
          <t>总成本</t>
        </is>
      </c>
      <c r="G28" s="2" t="n"/>
      <c r="H28" s="2" t="n"/>
      <c r="I28" s="2" t="n"/>
    </row>
    <row r="29" ht="22" customHeight="1">
      <c r="A29" s="2" t="inlineStr">
        <is>
          <t>Net Margin</t>
        </is>
      </c>
      <c r="B29" s="7">
        <f>B23-B28</f>
        <v/>
      </c>
      <c r="C29" s="7">
        <f>C23-C28</f>
        <v/>
      </c>
      <c r="D29" s="7">
        <f>C29/$B$14</f>
        <v/>
      </c>
      <c r="E29" s="2" t="inlineStr">
        <is>
          <t>单票毛利</t>
        </is>
      </c>
      <c r="F29" s="2" t="inlineStr">
        <is>
          <t>收入-总成本</t>
        </is>
      </c>
      <c r="G29" s="2" t="n"/>
      <c r="H29" s="2" t="n"/>
      <c r="I29" s="2" t="n"/>
    </row>
    <row r="30" ht="22" customHeight="1">
      <c r="A30" s="2" t="inlineStr">
        <is>
          <t>Margin / DMT</t>
        </is>
      </c>
      <c r="B30" s="7">
        <f>B29/B8</f>
        <v/>
      </c>
      <c r="C30" s="7">
        <f>C29/C8</f>
        <v/>
      </c>
      <c r="D30" s="7">
        <f>D29/B8</f>
        <v/>
      </c>
      <c r="E30" s="2" t="inlineStr">
        <is>
          <t>折合单干吨毛利</t>
        </is>
      </c>
      <c r="F30" s="2" t="inlineStr">
        <is>
          <t>毛利/DMT</t>
        </is>
      </c>
      <c r="G30" s="2" t="n"/>
      <c r="H30" s="2" t="n"/>
      <c r="I30" s="2" t="n"/>
    </row>
    <row r="31" ht="22" customHeight="1">
      <c r="A31" s="2" t="inlineStr">
        <is>
          <t>Gross Margin %</t>
        </is>
      </c>
      <c r="B31" s="8">
        <f>B29/B23</f>
        <v/>
      </c>
      <c r="C31" s="8">
        <f>C29/C23</f>
        <v/>
      </c>
      <c r="D31" s="8">
        <f>D29/D23</f>
        <v/>
      </c>
      <c r="E31" s="2" t="inlineStr">
        <is>
          <t>毛利率</t>
        </is>
      </c>
      <c r="F31" s="2" t="inlineStr">
        <is>
          <t>毛利/收入</t>
        </is>
      </c>
      <c r="G31" s="2" t="n"/>
      <c r="H31" s="2" t="n"/>
      <c r="I31" s="2" t="n"/>
    </row>
    <row r="32" ht="22" customHeight="1">
      <c r="A32" s="2" t="inlineStr">
        <is>
          <t>Recommended Market</t>
        </is>
      </c>
      <c r="B32" s="7">
        <f>IF(B30&gt;D30,"International","Domestic")</f>
        <v/>
      </c>
      <c r="C32" s="7" t="inlineStr"/>
      <c r="D32" s="7" t="inlineStr"/>
      <c r="E32" s="2" t="inlineStr">
        <is>
          <t>市场建议</t>
        </is>
      </c>
      <c r="F32" s="2" t="inlineStr">
        <is>
          <t>比较USD口径</t>
        </is>
      </c>
      <c r="G32" s="2" t="n"/>
      <c r="H32" s="2" t="n"/>
      <c r="I32" s="2" t="n"/>
    </row>
  </sheetData>
  <mergeCells count="2">
    <mergeCell ref="A1:I1"/>
    <mergeCell ref="A2:I2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6" customWidth="1" min="4" max="4"/>
    <col width="34" customWidth="1" min="5" max="5"/>
    <col width="28" customWidth="1" min="6" max="6"/>
  </cols>
  <sheetData>
    <row r="1" ht="22" customHeight="1">
      <c r="A1" s="1" t="inlineStr">
        <is>
          <t>锂矿 Li2O 独立计价模型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2" customHeight="1">
      <c r="A2" s="2" t="inlineStr">
        <is>
          <t>上游采购、公共物流、国际/国内下游报价与单票毛利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22" customHeight="1">
      <c r="A4" s="1" t="inlineStr">
        <is>
          <t>Input / Calc</t>
        </is>
      </c>
      <c r="B4" s="1" t="inlineStr">
        <is>
          <t>International</t>
        </is>
      </c>
      <c r="C4" s="1" t="inlineStr">
        <is>
          <t>Domestic</t>
        </is>
      </c>
      <c r="D4" s="1" t="inlineStr">
        <is>
          <t>Unit</t>
        </is>
      </c>
      <c r="E4" s="1" t="inlineStr">
        <is>
          <t>Description</t>
        </is>
      </c>
      <c r="F4" s="1" t="inlineStr">
        <is>
          <t>Check</t>
        </is>
      </c>
      <c r="G4" s="2" t="n"/>
      <c r="H4" s="2" t="n"/>
      <c r="I4" s="2" t="n"/>
    </row>
    <row r="5" ht="22" customHeight="1">
      <c r="A5" s="2" t="inlineStr">
        <is>
          <t>Commodity</t>
        </is>
      </c>
      <c r="B5" s="4">
        <f>Commodity_Config!A7</f>
        <v/>
      </c>
      <c r="C5" s="4">
        <f>Commodity_Config!A7</f>
        <v/>
      </c>
      <c r="D5" s="2" t="inlineStr">
        <is>
          <t>-</t>
        </is>
      </c>
      <c r="E5" s="2" t="inlineStr">
        <is>
          <t>矿种代码</t>
        </is>
      </c>
      <c r="F5" s="2" t="n"/>
      <c r="G5" s="2" t="n"/>
      <c r="H5" s="2" t="n"/>
      <c r="I5" s="2" t="n"/>
    </row>
    <row r="6" ht="22" customHeight="1">
      <c r="A6" s="2" t="inlineStr">
        <is>
          <t>WMT_Qty</t>
        </is>
      </c>
      <c r="B6" s="4">
        <f>Commodity_Config!C7</f>
        <v/>
      </c>
      <c r="C6" s="4">
        <f>Commodity_Config!C7</f>
        <v/>
      </c>
      <c r="D6" s="2" t="inlineStr">
        <is>
          <t>WMT</t>
        </is>
      </c>
      <c r="E6" s="2" t="inlineStr">
        <is>
          <t>湿吨</t>
        </is>
      </c>
      <c r="F6" s="4">
        <f>IF(AND(B7&gt;=0,B7&lt;=0.3),"OK","Check moisture")</f>
        <v/>
      </c>
      <c r="G6" s="2" t="n"/>
      <c r="H6" s="2" t="n"/>
      <c r="I6" s="2" t="n"/>
    </row>
    <row r="7" ht="22" customHeight="1">
      <c r="A7" s="2" t="inlineStr">
        <is>
          <t>Moisture</t>
        </is>
      </c>
      <c r="B7" s="8">
        <f>Commodity_Config!D7</f>
        <v/>
      </c>
      <c r="C7" s="8">
        <f>Commodity_Config!D7</f>
        <v/>
      </c>
      <c r="D7" s="2" t="inlineStr">
        <is>
          <t>%</t>
        </is>
      </c>
      <c r="E7" s="2" t="inlineStr">
        <is>
          <t>水分</t>
        </is>
      </c>
      <c r="F7" s="4">
        <f>IF(AND(B9&gt;0,B9&lt;1),"OK","Check grade")</f>
        <v/>
      </c>
      <c r="G7" s="2" t="n"/>
      <c r="H7" s="2" t="n"/>
      <c r="I7" s="2" t="n"/>
    </row>
    <row r="8" ht="22" customHeight="1">
      <c r="A8" s="2" t="inlineStr">
        <is>
          <t>DMT_Qty</t>
        </is>
      </c>
      <c r="B8" s="10">
        <f>B6*(1-B7)</f>
        <v/>
      </c>
      <c r="C8" s="10">
        <f>C6*(1-C7)</f>
        <v/>
      </c>
      <c r="D8" s="2" t="inlineStr">
        <is>
          <t>DMT</t>
        </is>
      </c>
      <c r="E8" s="2" t="inlineStr">
        <is>
          <t>干吨</t>
        </is>
      </c>
      <c r="F8" s="4">
        <f>IF(AND(B11&gt;0,B11&lt;=1,C11&gt;0,C11&lt;=1),"OK","Check payability")</f>
        <v/>
      </c>
      <c r="G8" s="2" t="n"/>
      <c r="H8" s="2" t="n"/>
      <c r="I8" s="2" t="n"/>
    </row>
    <row r="9" ht="22" customHeight="1">
      <c r="A9" s="2" t="inlineStr">
        <is>
          <t>Grade</t>
        </is>
      </c>
      <c r="B9" s="8">
        <f>Commodity_Config!E7</f>
        <v/>
      </c>
      <c r="C9" s="8">
        <f>Commodity_Config!E7</f>
        <v/>
      </c>
      <c r="D9" s="2" t="inlineStr">
        <is>
          <t>%</t>
        </is>
      </c>
      <c r="E9" s="2" t="inlineStr">
        <is>
          <t>干基品位</t>
        </is>
      </c>
      <c r="F9" s="2" t="n"/>
      <c r="G9" s="2" t="n"/>
      <c r="H9" s="2" t="n"/>
      <c r="I9" s="2" t="n"/>
    </row>
    <row r="10" ht="22" customHeight="1">
      <c r="A10" s="2" t="inlineStr">
        <is>
          <t>Benchmark Price</t>
        </is>
      </c>
      <c r="B10" s="10">
        <f>Index_Library!D7</f>
        <v/>
      </c>
      <c r="C10" s="10">
        <f>Index_Library!F7</f>
        <v/>
      </c>
      <c r="D10" s="2" t="inlineStr">
        <is>
          <t>Index</t>
        </is>
      </c>
      <c r="E10" s="2" t="inlineStr">
        <is>
          <t>价格基准</t>
        </is>
      </c>
      <c r="F10" s="2" t="n"/>
      <c r="G10" s="2" t="n"/>
      <c r="H10" s="2" t="n"/>
      <c r="I10" s="2" t="n"/>
    </row>
    <row r="11" ht="22" customHeight="1">
      <c r="A11" s="2" t="inlineStr">
        <is>
          <t>Payability</t>
        </is>
      </c>
      <c r="B11" s="8">
        <f>Commodity_Config!F7</f>
        <v/>
      </c>
      <c r="C11" s="8">
        <f>Commodity_Config!G7</f>
        <v/>
      </c>
      <c r="D11" s="2" t="inlineStr">
        <is>
          <t>%</t>
        </is>
      </c>
      <c r="E11" s="2" t="inlineStr">
        <is>
          <t>计价系数</t>
        </is>
      </c>
      <c r="F11" s="2" t="n"/>
      <c r="G11" s="2" t="n"/>
      <c r="H11" s="2" t="n"/>
      <c r="I11" s="2" t="n"/>
    </row>
    <row r="12" ht="22" customHeight="1">
      <c r="A12" s="2" t="inlineStr">
        <is>
          <t>Treatment Charge</t>
        </is>
      </c>
      <c r="B12" s="10">
        <f>Commodity_Config!J7</f>
        <v/>
      </c>
      <c r="C12" s="10">
        <f>Commodity_Config!K7</f>
        <v/>
      </c>
      <c r="D12" s="2" t="inlineStr">
        <is>
          <t>USD/RMB per DMT</t>
        </is>
      </c>
      <c r="E12" s="2" t="inlineStr">
        <is>
          <t>处理费</t>
        </is>
      </c>
      <c r="F12" s="2" t="n"/>
      <c r="G12" s="2" t="n"/>
      <c r="H12" s="2" t="n"/>
      <c r="I12" s="2" t="n"/>
    </row>
    <row r="13" ht="22" customHeight="1">
      <c r="A13" s="2" t="inlineStr">
        <is>
          <t>Penalty</t>
        </is>
      </c>
      <c r="B13" s="10">
        <f>Commodity_Config!L7</f>
        <v/>
      </c>
      <c r="C13" s="10">
        <f>Commodity_Config!L7*Global_Assumptions!B5</f>
        <v/>
      </c>
      <c r="D13" s="2" t="inlineStr">
        <is>
          <t>USD/RMB per DMT</t>
        </is>
      </c>
      <c r="E13" s="2" t="inlineStr">
        <is>
          <t>杂质罚扣</t>
        </is>
      </c>
      <c r="F13" s="2" t="n"/>
      <c r="G13" s="2" t="n"/>
      <c r="H13" s="2" t="n"/>
      <c r="I13" s="2" t="n"/>
    </row>
    <row r="14" ht="22" customHeight="1">
      <c r="A14" s="2" t="inlineStr">
        <is>
          <t>FX</t>
        </is>
      </c>
      <c r="B14" s="10">
        <f>Global_Assumptions!B5</f>
        <v/>
      </c>
      <c r="C14" s="10">
        <f>Global_Assumptions!B5</f>
        <v/>
      </c>
      <c r="D14" s="2" t="inlineStr">
        <is>
          <t>RMB/USD</t>
        </is>
      </c>
      <c r="E14" s="2" t="inlineStr">
        <is>
          <t>汇率</t>
        </is>
      </c>
      <c r="F14" s="2" t="n"/>
      <c r="G14" s="2" t="n"/>
      <c r="H14" s="2" t="n"/>
      <c r="I14" s="2" t="n"/>
    </row>
    <row r="15" ht="22" customHeight="1">
      <c r="A15" s="2" t="inlineStr">
        <is>
          <t>EXW Purchase Price</t>
        </is>
      </c>
      <c r="B15" s="10">
        <f>Commodity_Config!H7</f>
        <v/>
      </c>
      <c r="C15" s="10">
        <f>Commodity_Config!H7</f>
        <v/>
      </c>
      <c r="D15" s="2" t="inlineStr">
        <is>
          <t>USD</t>
        </is>
      </c>
      <c r="E15" s="2" t="inlineStr">
        <is>
          <t>上游EXW采购成本</t>
        </is>
      </c>
      <c r="F15" s="2" t="n"/>
      <c r="G15" s="2" t="n"/>
      <c r="H15" s="2" t="n"/>
      <c r="I15" s="2" t="n"/>
    </row>
    <row r="16" ht="22" customHeight="1">
      <c r="A16" s="2" t="inlineStr">
        <is>
          <t>Equivalent FOB Price</t>
        </is>
      </c>
      <c r="B16" s="10">
        <f>B15+(B6*(SUMIF(Logistics_Common!I5:I8,"Yes",Logistics_Common!D5:D8))+B8*(SUMIF(Logistics_Common!I9:I9,"Yes",Logistics_Common!E9:E9))+(SUMIF(Logistics_Common!I10:I12,"Yes",Logistics_Common!F10:F12)+IF(Logistics_Common!I16="Yes",Logistics_Common!F16,0)))/B8</f>
        <v/>
      </c>
      <c r="C16" s="10">
        <f>B16*$B$14</f>
        <v/>
      </c>
      <c r="D16" s="2" t="inlineStr">
        <is>
          <t>USD/RMB</t>
        </is>
      </c>
      <c r="E16" s="2" t="inlineStr">
        <is>
          <t>保本FOB等效价参考；按Compact口径折算</t>
        </is>
      </c>
      <c r="F16" s="2" t="n"/>
      <c r="G16" s="2" t="n"/>
      <c r="H16" s="2" t="n"/>
      <c r="I16" s="2" t="n"/>
    </row>
    <row r="17" ht="22" customHeight="1">
      <c r="A17" s="2" t="inlineStr">
        <is>
          <t>Actual FOB Offer</t>
        </is>
      </c>
      <c r="B17" s="4">
        <f>Commodity_Config!H7</f>
        <v/>
      </c>
      <c r="C17" s="4">
        <f>Commodity_Config!H7</f>
        <v/>
      </c>
      <c r="D17" s="2" t="inlineStr">
        <is>
          <t>USD</t>
        </is>
      </c>
      <c r="E17" s="2" t="inlineStr">
        <is>
          <t>客户FOB报价（可手动覆盖）</t>
        </is>
      </c>
      <c r="F17" s="2" t="n"/>
      <c r="G17" s="2" t="n"/>
      <c r="H17" s="2" t="n"/>
      <c r="I17" s="2" t="n"/>
    </row>
    <row r="18" ht="22" customHeight="1">
      <c r="A18" s="2" t="inlineStr">
        <is>
          <t>Purchase Basis</t>
        </is>
      </c>
      <c r="B18" s="10">
        <f>Commodity_Config!I7</f>
        <v/>
      </c>
      <c r="C18" s="10">
        <f>Commodity_Config!I7</f>
        <v/>
      </c>
      <c r="D18" s="2" t="inlineStr">
        <is>
          <t>-</t>
        </is>
      </c>
      <c r="E18" s="2" t="inlineStr">
        <is>
          <t>采购计价口径</t>
        </is>
      </c>
      <c r="F18" s="2" t="n"/>
      <c r="G18" s="2" t="n"/>
      <c r="H18" s="2" t="n"/>
      <c r="I18" s="2" t="n"/>
    </row>
    <row r="19" ht="22" customHeight="1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</row>
    <row r="20" ht="22" customHeight="1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</row>
    <row r="21" ht="22" customHeight="1">
      <c r="A21" s="1" t="inlineStr">
        <is>
          <t>Calculation</t>
        </is>
      </c>
      <c r="B21" s="1" t="inlineStr">
        <is>
          <t>International USD</t>
        </is>
      </c>
      <c r="C21" s="1" t="inlineStr">
        <is>
          <t>Domestic RMB</t>
        </is>
      </c>
      <c r="D21" s="1" t="inlineStr">
        <is>
          <t>Domestic USD</t>
        </is>
      </c>
      <c r="E21" s="1" t="inlineStr">
        <is>
          <t>Description</t>
        </is>
      </c>
      <c r="F21" s="1" t="inlineStr">
        <is>
          <t>Formula Note</t>
        </is>
      </c>
      <c r="G21" s="2" t="n"/>
      <c r="H21" s="2" t="n"/>
      <c r="I21" s="2" t="n"/>
    </row>
    <row r="22" ht="22" customHeight="1">
      <c r="A22" s="2" t="inlineStr">
        <is>
          <t>Revenue / DMT</t>
        </is>
      </c>
      <c r="B22" s="7">
        <f>B10*((B9+Assay_Adjustment!D7)/0.06)*(B11+Assay_Adjustment!F7)-B12-B13-Assay_Adjustment!G7</f>
        <v/>
      </c>
      <c r="C22" s="7">
        <f>C10*((C9+Assay_Adjustment!D7)/0.06)*(C11+Assay_Adjustment!F7)-C12-C13-Assay_Adjustment!H7</f>
        <v/>
      </c>
      <c r="D22" s="7">
        <f>C22/$B$14</f>
        <v/>
      </c>
      <c r="E22" s="2" t="inlineStr">
        <is>
          <t>扣TC和罚扣后的下游净收入</t>
        </is>
      </c>
      <c r="F22" s="2" t="inlineStr">
        <is>
          <t>按矿种公式</t>
        </is>
      </c>
      <c r="G22" s="2" t="n"/>
      <c r="H22" s="2" t="n"/>
      <c r="I22" s="2" t="n"/>
    </row>
    <row r="23" ht="22" customHeight="1">
      <c r="A23" s="2" t="inlineStr">
        <is>
          <t>Sales Revenue</t>
        </is>
      </c>
      <c r="B23" s="7">
        <f>B22*B8</f>
        <v/>
      </c>
      <c r="C23" s="7">
        <f>C22*C8</f>
        <v/>
      </c>
      <c r="D23" s="7">
        <f>C23/$B$14</f>
        <v/>
      </c>
      <c r="E23" s="2" t="inlineStr">
        <is>
          <t>单票销售收入</t>
        </is>
      </c>
      <c r="F23" s="2" t="inlineStr">
        <is>
          <t>Revenue/DMT × DMT</t>
        </is>
      </c>
      <c r="G23" s="2" t="n"/>
      <c r="H23" s="2" t="n"/>
      <c r="I23" s="2" t="n"/>
    </row>
    <row r="24" ht="22" customHeight="1">
      <c r="A24" s="2" t="inlineStr">
        <is>
          <t>Purchase Cost Total</t>
        </is>
      </c>
      <c r="B24" s="7">
        <f>IF(Incoterms_Config!B7="FOB",B8*B17,B8*B15)</f>
        <v/>
      </c>
      <c r="C24" s="7">
        <f>B24*$B$14</f>
        <v/>
      </c>
      <c r="D24" s="7">
        <f>C24/$B$14</f>
        <v/>
      </c>
      <c r="E24" s="2" t="inlineStr">
        <is>
          <t>上游采购成本（FOB/EXW切换）</t>
        </is>
      </c>
      <c r="F24" s="2" t="inlineStr">
        <is>
          <t>Incoterms_Config驱动</t>
        </is>
      </c>
      <c r="G24" s="2" t="n"/>
      <c r="H24" s="2" t="n"/>
      <c r="I24" s="2" t="n"/>
    </row>
    <row r="25" ht="22" customHeight="1">
      <c r="A25" s="2" t="inlineStr">
        <is>
          <t>Logistics Base</t>
        </is>
      </c>
      <c r="B25" s="7">
        <f>IF(Incoterms_Config!B7="FOB",0,B6*Logistics_Common!B20+B8*Logistics_Common!B21+Logistics_Common!B22)</f>
        <v/>
      </c>
      <c r="C25" s="7">
        <f>IF(Incoterms_Config!B7="FOB",0,B6*Logistics_Common!B20+B8*Logistics_Common!B21+Logistics_Common!B22)*$B$14</f>
        <v/>
      </c>
      <c r="D25" s="7">
        <f>C25/$B$14</f>
        <v/>
      </c>
      <c r="E25" s="2" t="inlineStr">
        <is>
          <t>WMT/DMT/Fixed公共物流</t>
        </is>
      </c>
      <c r="F25" s="2" t="inlineStr">
        <is>
          <t>FOB时归零</t>
        </is>
      </c>
      <c r="G25" s="2" t="n"/>
      <c r="H25" s="2" t="n"/>
      <c r="I25" s="2" t="n"/>
    </row>
    <row r="26" ht="22" customHeight="1">
      <c r="A26" s="2" t="inlineStr">
        <is>
          <t>Value Based Fees</t>
        </is>
      </c>
      <c r="B26" s="7">
        <f>IF(Incoterms_Config!G7="Yes",B23*Logistics_Common!B23,0)</f>
        <v/>
      </c>
      <c r="C26" s="7">
        <f>IF(Incoterms_Config!G7="Yes",C23*Logistics_Common!B23,0)</f>
        <v/>
      </c>
      <c r="D26" s="7">
        <f>C26/$B$14</f>
        <v/>
      </c>
      <c r="E26" s="2" t="inlineStr">
        <is>
          <t>保险、银行等（FOB时归零）</t>
        </is>
      </c>
      <c r="F26" s="2" t="inlineStr">
        <is>
          <t>Include Insurance驱动</t>
        </is>
      </c>
      <c r="G26" s="2" t="n"/>
      <c r="H26" s="2" t="n"/>
      <c r="I26" s="2" t="n"/>
    </row>
    <row r="27" ht="22" customHeight="1">
      <c r="A27" s="2" t="inlineStr">
        <is>
          <t>Contingency</t>
        </is>
      </c>
      <c r="B27" s="7">
        <f>IF(Incoterms_Config!B7="FOB",0,(B24+B25+B26)*Logistics_Common!B24)</f>
        <v/>
      </c>
      <c r="C27" s="7">
        <f>IF(Incoterms_Config!B7="FOB",0,(C24+C25+C26)*Logistics_Common!B24)</f>
        <v/>
      </c>
      <c r="D27" s="7">
        <f>C27/$B$14</f>
        <v/>
      </c>
      <c r="E27" s="2" t="inlineStr">
        <is>
          <t>应急缓冲（FOB时归零）</t>
        </is>
      </c>
      <c r="F27" s="2" t="inlineStr">
        <is>
          <t>% Cost</t>
        </is>
      </c>
      <c r="G27" s="2" t="n"/>
      <c r="H27" s="2" t="n"/>
      <c r="I27" s="2" t="n"/>
    </row>
    <row r="28" ht="22" customHeight="1">
      <c r="A28" s="2" t="inlineStr">
        <is>
          <t>Total Cost</t>
        </is>
      </c>
      <c r="B28" s="7">
        <f>SUM(B24:B27)</f>
        <v/>
      </c>
      <c r="C28" s="7">
        <f>SUM(C24:C27)</f>
        <v/>
      </c>
      <c r="D28" s="7">
        <f>C28/$B$14</f>
        <v/>
      </c>
      <c r="E28" s="2" t="inlineStr">
        <is>
          <t>采购+物流+费用+缓冲</t>
        </is>
      </c>
      <c r="F28" s="2" t="inlineStr">
        <is>
          <t>总成本</t>
        </is>
      </c>
      <c r="G28" s="2" t="n"/>
      <c r="H28" s="2" t="n"/>
      <c r="I28" s="2" t="n"/>
    </row>
    <row r="29" ht="22" customHeight="1">
      <c r="A29" s="2" t="inlineStr">
        <is>
          <t>Net Margin</t>
        </is>
      </c>
      <c r="B29" s="7">
        <f>B23-B28</f>
        <v/>
      </c>
      <c r="C29" s="7">
        <f>C23-C28</f>
        <v/>
      </c>
      <c r="D29" s="7">
        <f>C29/$B$14</f>
        <v/>
      </c>
      <c r="E29" s="2" t="inlineStr">
        <is>
          <t>单票毛利</t>
        </is>
      </c>
      <c r="F29" s="2" t="inlineStr">
        <is>
          <t>收入-总成本</t>
        </is>
      </c>
      <c r="G29" s="2" t="n"/>
      <c r="H29" s="2" t="n"/>
      <c r="I29" s="2" t="n"/>
    </row>
    <row r="30" ht="22" customHeight="1">
      <c r="A30" s="2" t="inlineStr">
        <is>
          <t>Margin / DMT</t>
        </is>
      </c>
      <c r="B30" s="7">
        <f>B29/B8</f>
        <v/>
      </c>
      <c r="C30" s="7">
        <f>C29/C8</f>
        <v/>
      </c>
      <c r="D30" s="7">
        <f>D29/B8</f>
        <v/>
      </c>
      <c r="E30" s="2" t="inlineStr">
        <is>
          <t>折合单干吨毛利</t>
        </is>
      </c>
      <c r="F30" s="2" t="inlineStr">
        <is>
          <t>毛利/DMT</t>
        </is>
      </c>
      <c r="G30" s="2" t="n"/>
      <c r="H30" s="2" t="n"/>
      <c r="I30" s="2" t="n"/>
    </row>
    <row r="31" ht="22" customHeight="1">
      <c r="A31" s="2" t="inlineStr">
        <is>
          <t>Gross Margin %</t>
        </is>
      </c>
      <c r="B31" s="8">
        <f>B29/B23</f>
        <v/>
      </c>
      <c r="C31" s="8">
        <f>C29/C23</f>
        <v/>
      </c>
      <c r="D31" s="8">
        <f>D29/D23</f>
        <v/>
      </c>
      <c r="E31" s="2" t="inlineStr">
        <is>
          <t>毛利率</t>
        </is>
      </c>
      <c r="F31" s="2" t="inlineStr">
        <is>
          <t>毛利/收入</t>
        </is>
      </c>
      <c r="G31" s="2" t="n"/>
      <c r="H31" s="2" t="n"/>
      <c r="I31" s="2" t="n"/>
    </row>
    <row r="32" ht="22" customHeight="1">
      <c r="A32" s="2" t="inlineStr">
        <is>
          <t>Recommended Market</t>
        </is>
      </c>
      <c r="B32" s="7">
        <f>IF(B30&gt;D30,"International","Domestic")</f>
        <v/>
      </c>
      <c r="C32" s="7" t="inlineStr"/>
      <c r="D32" s="7" t="inlineStr"/>
      <c r="E32" s="2" t="inlineStr">
        <is>
          <t>市场建议</t>
        </is>
      </c>
      <c r="F32" s="2" t="inlineStr">
        <is>
          <t>比较USD口径</t>
        </is>
      </c>
      <c r="G32" s="2" t="n"/>
      <c r="H32" s="2" t="n"/>
      <c r="I32" s="2" t="n"/>
    </row>
  </sheetData>
  <mergeCells count="2">
    <mergeCell ref="A1:I1"/>
    <mergeCell ref="A2:I2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6" customWidth="1" min="4" max="4"/>
    <col width="34" customWidth="1" min="5" max="5"/>
    <col width="28" customWidth="1" min="6" max="6"/>
  </cols>
  <sheetData>
    <row r="1" ht="22" customHeight="1">
      <c r="A1" s="1" t="inlineStr">
        <is>
          <t>铜精矿 Cu 独立计价模型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2" customHeight="1">
      <c r="A2" s="2" t="inlineStr">
        <is>
          <t>上游采购、公共物流、国际/国内下游报价与单票毛利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22" customHeight="1">
      <c r="A4" s="1" t="inlineStr">
        <is>
          <t>Input / Calc</t>
        </is>
      </c>
      <c r="B4" s="1" t="inlineStr">
        <is>
          <t>International</t>
        </is>
      </c>
      <c r="C4" s="1" t="inlineStr">
        <is>
          <t>Domestic</t>
        </is>
      </c>
      <c r="D4" s="1" t="inlineStr">
        <is>
          <t>Unit</t>
        </is>
      </c>
      <c r="E4" s="1" t="inlineStr">
        <is>
          <t>Description</t>
        </is>
      </c>
      <c r="F4" s="1" t="inlineStr">
        <is>
          <t>Check</t>
        </is>
      </c>
      <c r="G4" s="2" t="n"/>
      <c r="H4" s="2" t="n"/>
      <c r="I4" s="2" t="n"/>
    </row>
    <row r="5" ht="22" customHeight="1">
      <c r="A5" s="2" t="inlineStr">
        <is>
          <t>Commodity</t>
        </is>
      </c>
      <c r="B5" s="4">
        <f>Commodity_Config!A8</f>
        <v/>
      </c>
      <c r="C5" s="4">
        <f>Commodity_Config!A8</f>
        <v/>
      </c>
      <c r="D5" s="2" t="inlineStr">
        <is>
          <t>-</t>
        </is>
      </c>
      <c r="E5" s="2" t="inlineStr">
        <is>
          <t>矿种代码</t>
        </is>
      </c>
      <c r="F5" s="2" t="n"/>
      <c r="G5" s="2" t="n"/>
      <c r="H5" s="2" t="n"/>
      <c r="I5" s="2" t="n"/>
    </row>
    <row r="6" ht="22" customHeight="1">
      <c r="A6" s="2" t="inlineStr">
        <is>
          <t>WMT_Qty</t>
        </is>
      </c>
      <c r="B6" s="4">
        <f>Commodity_Config!C8</f>
        <v/>
      </c>
      <c r="C6" s="4">
        <f>Commodity_Config!C8</f>
        <v/>
      </c>
      <c r="D6" s="2" t="inlineStr">
        <is>
          <t>WMT</t>
        </is>
      </c>
      <c r="E6" s="2" t="inlineStr">
        <is>
          <t>湿吨</t>
        </is>
      </c>
      <c r="F6" s="4">
        <f>IF(AND(B7&gt;=0,B7&lt;=0.3),"OK","Check moisture")</f>
        <v/>
      </c>
      <c r="G6" s="2" t="n"/>
      <c r="H6" s="2" t="n"/>
      <c r="I6" s="2" t="n"/>
    </row>
    <row r="7" ht="22" customHeight="1">
      <c r="A7" s="2" t="inlineStr">
        <is>
          <t>Moisture</t>
        </is>
      </c>
      <c r="B7" s="8">
        <f>Commodity_Config!D8</f>
        <v/>
      </c>
      <c r="C7" s="8">
        <f>Commodity_Config!D8</f>
        <v/>
      </c>
      <c r="D7" s="2" t="inlineStr">
        <is>
          <t>%</t>
        </is>
      </c>
      <c r="E7" s="2" t="inlineStr">
        <is>
          <t>水分</t>
        </is>
      </c>
      <c r="F7" s="4">
        <f>IF(AND(B9&gt;0,B9&lt;1),"OK","Check grade")</f>
        <v/>
      </c>
      <c r="G7" s="2" t="n"/>
      <c r="H7" s="2" t="n"/>
      <c r="I7" s="2" t="n"/>
    </row>
    <row r="8" ht="22" customHeight="1">
      <c r="A8" s="2" t="inlineStr">
        <is>
          <t>DMT_Qty</t>
        </is>
      </c>
      <c r="B8" s="10">
        <f>B6*(1-B7)</f>
        <v/>
      </c>
      <c r="C8" s="10">
        <f>C6*(1-C7)</f>
        <v/>
      </c>
      <c r="D8" s="2" t="inlineStr">
        <is>
          <t>DMT</t>
        </is>
      </c>
      <c r="E8" s="2" t="inlineStr">
        <is>
          <t>干吨</t>
        </is>
      </c>
      <c r="F8" s="4">
        <f>IF(AND(B11&gt;0,B11&lt;=1,C11&gt;0,C11&lt;=1),"OK","Check payability")</f>
        <v/>
      </c>
      <c r="G8" s="2" t="n"/>
      <c r="H8" s="2" t="n"/>
      <c r="I8" s="2" t="n"/>
    </row>
    <row r="9" ht="22" customHeight="1">
      <c r="A9" s="2" t="inlineStr">
        <is>
          <t>Grade</t>
        </is>
      </c>
      <c r="B9" s="8">
        <f>Commodity_Config!E8</f>
        <v/>
      </c>
      <c r="C9" s="8">
        <f>Commodity_Config!E8</f>
        <v/>
      </c>
      <c r="D9" s="2" t="inlineStr">
        <is>
          <t>%</t>
        </is>
      </c>
      <c r="E9" s="2" t="inlineStr">
        <is>
          <t>干基品位</t>
        </is>
      </c>
      <c r="F9" s="2" t="n"/>
      <c r="G9" s="2" t="n"/>
      <c r="H9" s="2" t="n"/>
      <c r="I9" s="2" t="n"/>
    </row>
    <row r="10" ht="22" customHeight="1">
      <c r="A10" s="2" t="inlineStr">
        <is>
          <t>Benchmark Price</t>
        </is>
      </c>
      <c r="B10" s="10">
        <f>Index_Library!D8</f>
        <v/>
      </c>
      <c r="C10" s="10">
        <f>Index_Library!F8</f>
        <v/>
      </c>
      <c r="D10" s="2" t="inlineStr">
        <is>
          <t>Index</t>
        </is>
      </c>
      <c r="E10" s="2" t="inlineStr">
        <is>
          <t>价格基准</t>
        </is>
      </c>
      <c r="F10" s="2" t="n"/>
      <c r="G10" s="2" t="n"/>
      <c r="H10" s="2" t="n"/>
      <c r="I10" s="2" t="n"/>
    </row>
    <row r="11" ht="22" customHeight="1">
      <c r="A11" s="2" t="inlineStr">
        <is>
          <t>Payability</t>
        </is>
      </c>
      <c r="B11" s="8">
        <f>Commodity_Config!F8</f>
        <v/>
      </c>
      <c r="C11" s="8">
        <f>Commodity_Config!G8</f>
        <v/>
      </c>
      <c r="D11" s="2" t="inlineStr">
        <is>
          <t>%</t>
        </is>
      </c>
      <c r="E11" s="2" t="inlineStr">
        <is>
          <t>计价系数</t>
        </is>
      </c>
      <c r="F11" s="2" t="n"/>
      <c r="G11" s="2" t="n"/>
      <c r="H11" s="2" t="n"/>
      <c r="I11" s="2" t="n"/>
    </row>
    <row r="12" ht="22" customHeight="1">
      <c r="A12" s="2" t="inlineStr">
        <is>
          <t>Treatment Charge</t>
        </is>
      </c>
      <c r="B12" s="10">
        <f>Commodity_Config!J8</f>
        <v/>
      </c>
      <c r="C12" s="10">
        <f>Commodity_Config!K8</f>
        <v/>
      </c>
      <c r="D12" s="2" t="inlineStr">
        <is>
          <t>USD/RMB per DMT</t>
        </is>
      </c>
      <c r="E12" s="2" t="inlineStr">
        <is>
          <t>处理费</t>
        </is>
      </c>
      <c r="F12" s="2" t="n"/>
      <c r="G12" s="2" t="n"/>
      <c r="H12" s="2" t="n"/>
      <c r="I12" s="2" t="n"/>
    </row>
    <row r="13" ht="22" customHeight="1">
      <c r="A13" s="2" t="inlineStr">
        <is>
          <t>Penalty</t>
        </is>
      </c>
      <c r="B13" s="10">
        <f>Commodity_Config!L8</f>
        <v/>
      </c>
      <c r="C13" s="10">
        <f>Commodity_Config!L8*Global_Assumptions!B5</f>
        <v/>
      </c>
      <c r="D13" s="2" t="inlineStr">
        <is>
          <t>USD/RMB per DMT</t>
        </is>
      </c>
      <c r="E13" s="2" t="inlineStr">
        <is>
          <t>杂质罚扣</t>
        </is>
      </c>
      <c r="F13" s="2" t="n"/>
      <c r="G13" s="2" t="n"/>
      <c r="H13" s="2" t="n"/>
      <c r="I13" s="2" t="n"/>
    </row>
    <row r="14" ht="22" customHeight="1">
      <c r="A14" s="2" t="inlineStr">
        <is>
          <t>FX</t>
        </is>
      </c>
      <c r="B14" s="10">
        <f>Global_Assumptions!B5</f>
        <v/>
      </c>
      <c r="C14" s="10">
        <f>Global_Assumptions!B5</f>
        <v/>
      </c>
      <c r="D14" s="2" t="inlineStr">
        <is>
          <t>RMB/USD</t>
        </is>
      </c>
      <c r="E14" s="2" t="inlineStr">
        <is>
          <t>汇率</t>
        </is>
      </c>
      <c r="F14" s="2" t="n"/>
      <c r="G14" s="2" t="n"/>
      <c r="H14" s="2" t="n"/>
      <c r="I14" s="2" t="n"/>
    </row>
    <row r="15" ht="22" customHeight="1">
      <c r="A15" s="2" t="inlineStr">
        <is>
          <t>EXW Purchase Price</t>
        </is>
      </c>
      <c r="B15" s="10">
        <f>Commodity_Config!H8</f>
        <v/>
      </c>
      <c r="C15" s="10">
        <f>Commodity_Config!H8</f>
        <v/>
      </c>
      <c r="D15" s="2" t="inlineStr">
        <is>
          <t>USD</t>
        </is>
      </c>
      <c r="E15" s="2" t="inlineStr">
        <is>
          <t>上游EXW采购成本</t>
        </is>
      </c>
      <c r="F15" s="2" t="n"/>
      <c r="G15" s="2" t="n"/>
      <c r="H15" s="2" t="n"/>
      <c r="I15" s="2" t="n"/>
    </row>
    <row r="16" ht="22" customHeight="1">
      <c r="A16" s="2" t="inlineStr">
        <is>
          <t>Equivalent FOB Price</t>
        </is>
      </c>
      <c r="B16" s="10">
        <f>B15+(B6*(SUMIF(Logistics_Common!I5:I8,"Yes",Logistics_Common!D5:D8))+B8*(SUMIF(Logistics_Common!I9:I9,"Yes",Logistics_Common!E9:E9))+(SUMIF(Logistics_Common!I10:I12,"Yes",Logistics_Common!F10:F12)+IF(Logistics_Common!I16="Yes",Logistics_Common!F16,0)))/B8</f>
        <v/>
      </c>
      <c r="C16" s="10">
        <f>B16*$B$14</f>
        <v/>
      </c>
      <c r="D16" s="2" t="inlineStr">
        <is>
          <t>USD/RMB</t>
        </is>
      </c>
      <c r="E16" s="2" t="inlineStr">
        <is>
          <t>保本FOB等效价参考；按Compact口径折算</t>
        </is>
      </c>
      <c r="F16" s="2" t="n"/>
      <c r="G16" s="2" t="n"/>
      <c r="H16" s="2" t="n"/>
      <c r="I16" s="2" t="n"/>
    </row>
    <row r="17" ht="22" customHeight="1">
      <c r="A17" s="2" t="inlineStr">
        <is>
          <t>Actual FOB Offer</t>
        </is>
      </c>
      <c r="B17" s="4">
        <f>Commodity_Config!H8</f>
        <v/>
      </c>
      <c r="C17" s="4">
        <f>Commodity_Config!H8</f>
        <v/>
      </c>
      <c r="D17" s="2" t="inlineStr">
        <is>
          <t>USD</t>
        </is>
      </c>
      <c r="E17" s="2" t="inlineStr">
        <is>
          <t>客户FOB报价（可手动覆盖）</t>
        </is>
      </c>
      <c r="F17" s="2" t="n"/>
      <c r="G17" s="2" t="n"/>
      <c r="H17" s="2" t="n"/>
      <c r="I17" s="2" t="n"/>
    </row>
    <row r="18" ht="22" customHeight="1">
      <c r="A18" s="2" t="inlineStr">
        <is>
          <t>Purchase Basis</t>
        </is>
      </c>
      <c r="B18" s="10">
        <f>Commodity_Config!I8</f>
        <v/>
      </c>
      <c r="C18" s="10">
        <f>Commodity_Config!I8</f>
        <v/>
      </c>
      <c r="D18" s="2" t="inlineStr">
        <is>
          <t>-</t>
        </is>
      </c>
      <c r="E18" s="2" t="inlineStr">
        <is>
          <t>采购计价口径</t>
        </is>
      </c>
      <c r="F18" s="2" t="n"/>
      <c r="G18" s="2" t="n"/>
      <c r="H18" s="2" t="n"/>
      <c r="I18" s="2" t="n"/>
    </row>
    <row r="19" ht="22" customHeight="1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</row>
    <row r="20" ht="22" customHeight="1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</row>
    <row r="21" ht="22" customHeight="1">
      <c r="A21" s="1" t="inlineStr">
        <is>
          <t>Calculation</t>
        </is>
      </c>
      <c r="B21" s="1" t="inlineStr">
        <is>
          <t>International USD</t>
        </is>
      </c>
      <c r="C21" s="1" t="inlineStr">
        <is>
          <t>Domestic RMB</t>
        </is>
      </c>
      <c r="D21" s="1" t="inlineStr">
        <is>
          <t>Domestic USD</t>
        </is>
      </c>
      <c r="E21" s="1" t="inlineStr">
        <is>
          <t>Description</t>
        </is>
      </c>
      <c r="F21" s="1" t="inlineStr">
        <is>
          <t>Formula Note</t>
        </is>
      </c>
      <c r="G21" s="2" t="n"/>
      <c r="H21" s="2" t="n"/>
      <c r="I21" s="2" t="n"/>
    </row>
    <row r="22" ht="22" customHeight="1">
      <c r="A22" s="2" t="inlineStr">
        <is>
          <t>Revenue / DMT</t>
        </is>
      </c>
      <c r="B22" s="7">
        <f>(B9+Assay_Adjustment!D8)*B10*(B11+Assay_Adjustment!F8)-B12-B13-Assay_Adjustment!G8</f>
        <v/>
      </c>
      <c r="C22" s="7">
        <f>(C9+Assay_Adjustment!D8)*C10*(C11+Assay_Adjustment!F8)-C12-C13-Assay_Adjustment!H8</f>
        <v/>
      </c>
      <c r="D22" s="7">
        <f>C22/$B$14</f>
        <v/>
      </c>
      <c r="E22" s="2" t="inlineStr">
        <is>
          <t>扣TC和罚扣后的下游净收入</t>
        </is>
      </c>
      <c r="F22" s="2" t="inlineStr">
        <is>
          <t>按矿种公式</t>
        </is>
      </c>
      <c r="G22" s="2" t="n"/>
      <c r="H22" s="2" t="n"/>
      <c r="I22" s="2" t="n"/>
    </row>
    <row r="23" ht="22" customHeight="1">
      <c r="A23" s="2" t="inlineStr">
        <is>
          <t>Sales Revenue</t>
        </is>
      </c>
      <c r="B23" s="7">
        <f>B22*B8</f>
        <v/>
      </c>
      <c r="C23" s="7">
        <f>C22*C8</f>
        <v/>
      </c>
      <c r="D23" s="7">
        <f>C23/$B$14</f>
        <v/>
      </c>
      <c r="E23" s="2" t="inlineStr">
        <is>
          <t>单票销售收入</t>
        </is>
      </c>
      <c r="F23" s="2" t="inlineStr">
        <is>
          <t>Revenue/DMT × DMT</t>
        </is>
      </c>
      <c r="G23" s="2" t="n"/>
      <c r="H23" s="2" t="n"/>
      <c r="I23" s="2" t="n"/>
    </row>
    <row r="24" ht="22" customHeight="1">
      <c r="A24" s="2" t="inlineStr">
        <is>
          <t>Purchase Cost Total</t>
        </is>
      </c>
      <c r="B24" s="7">
        <f>IF(Incoterms_Config!B8="FOB",B8*B17,B8*B15)</f>
        <v/>
      </c>
      <c r="C24" s="7">
        <f>B24*$B$14</f>
        <v/>
      </c>
      <c r="D24" s="7">
        <f>C24/$B$14</f>
        <v/>
      </c>
      <c r="E24" s="2" t="inlineStr">
        <is>
          <t>上游采购成本（FOB/EXW切换）</t>
        </is>
      </c>
      <c r="F24" s="2" t="inlineStr">
        <is>
          <t>Incoterms_Config驱动</t>
        </is>
      </c>
      <c r="G24" s="2" t="n"/>
      <c r="H24" s="2" t="n"/>
      <c r="I24" s="2" t="n"/>
    </row>
    <row r="25" ht="22" customHeight="1">
      <c r="A25" s="2" t="inlineStr">
        <is>
          <t>Logistics Base</t>
        </is>
      </c>
      <c r="B25" s="7">
        <f>IF(Incoterms_Config!B8="FOB",0,B6*Logistics_Common!B20+B8*Logistics_Common!B21+Logistics_Common!B22)</f>
        <v/>
      </c>
      <c r="C25" s="7">
        <f>IF(Incoterms_Config!B8="FOB",0,B6*Logistics_Common!B20+B8*Logistics_Common!B21+Logistics_Common!B22)*$B$14</f>
        <v/>
      </c>
      <c r="D25" s="7">
        <f>C25/$B$14</f>
        <v/>
      </c>
      <c r="E25" s="2" t="inlineStr">
        <is>
          <t>WMT/DMT/Fixed公共物流</t>
        </is>
      </c>
      <c r="F25" s="2" t="inlineStr">
        <is>
          <t>FOB时归零</t>
        </is>
      </c>
      <c r="G25" s="2" t="n"/>
      <c r="H25" s="2" t="n"/>
      <c r="I25" s="2" t="n"/>
    </row>
    <row r="26" ht="22" customHeight="1">
      <c r="A26" s="2" t="inlineStr">
        <is>
          <t>Value Based Fees</t>
        </is>
      </c>
      <c r="B26" s="7">
        <f>IF(Incoterms_Config!G8="Yes",B23*Logistics_Common!B23,0)</f>
        <v/>
      </c>
      <c r="C26" s="7">
        <f>IF(Incoterms_Config!G8="Yes",C23*Logistics_Common!B23,0)</f>
        <v/>
      </c>
      <c r="D26" s="7">
        <f>C26/$B$14</f>
        <v/>
      </c>
      <c r="E26" s="2" t="inlineStr">
        <is>
          <t>保险、银行等（FOB时归零）</t>
        </is>
      </c>
      <c r="F26" s="2" t="inlineStr">
        <is>
          <t>Include Insurance驱动</t>
        </is>
      </c>
      <c r="G26" s="2" t="n"/>
      <c r="H26" s="2" t="n"/>
      <c r="I26" s="2" t="n"/>
    </row>
    <row r="27" ht="22" customHeight="1">
      <c r="A27" s="2" t="inlineStr">
        <is>
          <t>Contingency</t>
        </is>
      </c>
      <c r="B27" s="7">
        <f>IF(Incoterms_Config!B8="FOB",0,(B24+B25+B26)*Logistics_Common!B24)</f>
        <v/>
      </c>
      <c r="C27" s="7">
        <f>IF(Incoterms_Config!B8="FOB",0,(C24+C25+C26)*Logistics_Common!B24)</f>
        <v/>
      </c>
      <c r="D27" s="7">
        <f>C27/$B$14</f>
        <v/>
      </c>
      <c r="E27" s="2" t="inlineStr">
        <is>
          <t>应急缓冲（FOB时归零）</t>
        </is>
      </c>
      <c r="F27" s="2" t="inlineStr">
        <is>
          <t>% Cost</t>
        </is>
      </c>
      <c r="G27" s="2" t="n"/>
      <c r="H27" s="2" t="n"/>
      <c r="I27" s="2" t="n"/>
    </row>
    <row r="28" ht="22" customHeight="1">
      <c r="A28" s="2" t="inlineStr">
        <is>
          <t>Total Cost</t>
        </is>
      </c>
      <c r="B28" s="7">
        <f>SUM(B24:B27)</f>
        <v/>
      </c>
      <c r="C28" s="7">
        <f>SUM(C24:C27)</f>
        <v/>
      </c>
      <c r="D28" s="7">
        <f>C28/$B$14</f>
        <v/>
      </c>
      <c r="E28" s="2" t="inlineStr">
        <is>
          <t>采购+物流+费用+缓冲</t>
        </is>
      </c>
      <c r="F28" s="2" t="inlineStr">
        <is>
          <t>总成本</t>
        </is>
      </c>
      <c r="G28" s="2" t="n"/>
      <c r="H28" s="2" t="n"/>
      <c r="I28" s="2" t="n"/>
    </row>
    <row r="29" ht="22" customHeight="1">
      <c r="A29" s="2" t="inlineStr">
        <is>
          <t>Net Margin</t>
        </is>
      </c>
      <c r="B29" s="7">
        <f>B23-B28</f>
        <v/>
      </c>
      <c r="C29" s="7">
        <f>C23-C28</f>
        <v/>
      </c>
      <c r="D29" s="7">
        <f>C29/$B$14</f>
        <v/>
      </c>
      <c r="E29" s="2" t="inlineStr">
        <is>
          <t>单票毛利</t>
        </is>
      </c>
      <c r="F29" s="2" t="inlineStr">
        <is>
          <t>收入-总成本</t>
        </is>
      </c>
      <c r="G29" s="2" t="n"/>
      <c r="H29" s="2" t="n"/>
      <c r="I29" s="2" t="n"/>
    </row>
    <row r="30" ht="22" customHeight="1">
      <c r="A30" s="2" t="inlineStr">
        <is>
          <t>Margin / DMT</t>
        </is>
      </c>
      <c r="B30" s="7">
        <f>B29/B8</f>
        <v/>
      </c>
      <c r="C30" s="7">
        <f>C29/C8</f>
        <v/>
      </c>
      <c r="D30" s="7">
        <f>D29/B8</f>
        <v/>
      </c>
      <c r="E30" s="2" t="inlineStr">
        <is>
          <t>折合单干吨毛利</t>
        </is>
      </c>
      <c r="F30" s="2" t="inlineStr">
        <is>
          <t>毛利/DMT</t>
        </is>
      </c>
      <c r="G30" s="2" t="n"/>
      <c r="H30" s="2" t="n"/>
      <c r="I30" s="2" t="n"/>
    </row>
    <row r="31" ht="22" customHeight="1">
      <c r="A31" s="2" t="inlineStr">
        <is>
          <t>Gross Margin %</t>
        </is>
      </c>
      <c r="B31" s="8">
        <f>B29/B23</f>
        <v/>
      </c>
      <c r="C31" s="8">
        <f>C29/C23</f>
        <v/>
      </c>
      <c r="D31" s="8">
        <f>D29/D23</f>
        <v/>
      </c>
      <c r="E31" s="2" t="inlineStr">
        <is>
          <t>毛利率</t>
        </is>
      </c>
      <c r="F31" s="2" t="inlineStr">
        <is>
          <t>毛利/收入</t>
        </is>
      </c>
      <c r="G31" s="2" t="n"/>
      <c r="H31" s="2" t="n"/>
      <c r="I31" s="2" t="n"/>
    </row>
    <row r="32" ht="22" customHeight="1">
      <c r="A32" s="2" t="inlineStr">
        <is>
          <t>Recommended Market</t>
        </is>
      </c>
      <c r="B32" s="7">
        <f>IF(B30&gt;D30,"International","Domestic")</f>
        <v/>
      </c>
      <c r="C32" s="7" t="inlineStr"/>
      <c r="D32" s="7" t="inlineStr"/>
      <c r="E32" s="2" t="inlineStr">
        <is>
          <t>市场建议</t>
        </is>
      </c>
      <c r="F32" s="2" t="inlineStr">
        <is>
          <t>比较USD口径</t>
        </is>
      </c>
      <c r="G32" s="2" t="n"/>
      <c r="H32" s="2" t="n"/>
      <c r="I32" s="2" t="n"/>
    </row>
  </sheetData>
  <mergeCells count="2">
    <mergeCell ref="A1:I1"/>
    <mergeCell ref="A2:I2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L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8" customWidth="1" min="5" max="5"/>
    <col width="22" customWidth="1" min="6" max="6"/>
    <col width="18" customWidth="1" min="7" max="7"/>
    <col width="24" customWidth="1" min="8" max="8"/>
    <col width="20" customWidth="1" min="9" max="9"/>
    <col width="18" customWidth="1" min="10" max="10"/>
    <col width="24" customWidth="1" min="11" max="11"/>
    <col width="34" customWidth="1" min="12" max="12"/>
  </cols>
  <sheetData>
    <row r="1" ht="22" customHeight="1">
      <c r="A1" s="1" t="inlineStr">
        <is>
          <t>Deal Summary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2" customHeight="1">
      <c r="A2" s="2" t="inlineStr">
        <is>
          <t>读取四个矿种模型，统一比较国际/国内市场和毛利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22" customHeight="1">
      <c r="A4" s="1" t="inlineStr">
        <is>
          <t>Commodity</t>
        </is>
      </c>
      <c r="B4" s="1" t="inlineStr">
        <is>
          <t>Grade</t>
        </is>
      </c>
      <c r="C4" s="1" t="inlineStr">
        <is>
          <t>WMT</t>
        </is>
      </c>
      <c r="D4" s="1" t="inlineStr">
        <is>
          <t>DMT</t>
        </is>
      </c>
      <c r="E4" s="1" t="inlineStr">
        <is>
          <t>Intl Revenue/DMT</t>
        </is>
      </c>
      <c r="F4" s="1" t="inlineStr">
        <is>
          <t>Domestic Revenue/DMT USD</t>
        </is>
      </c>
      <c r="G4" s="1" t="inlineStr">
        <is>
          <t>Intl Margin/DMT</t>
        </is>
      </c>
      <c r="H4" s="1" t="inlineStr">
        <is>
          <t>Domestic Margin/DMT USD</t>
        </is>
      </c>
      <c r="I4" s="1" t="inlineStr">
        <is>
          <t>Recommended Market</t>
        </is>
      </c>
      <c r="J4" s="1" t="inlineStr">
        <is>
          <t>Total Intl Margin</t>
        </is>
      </c>
      <c r="K4" s="1" t="inlineStr">
        <is>
          <t>Total Domestic Margin USD</t>
        </is>
      </c>
      <c r="L4" s="1" t="inlineStr">
        <is>
          <t>Core Risk</t>
        </is>
      </c>
    </row>
    <row r="5" ht="22" customHeight="1">
      <c r="A5" s="2" t="inlineStr">
        <is>
          <t>Sb</t>
        </is>
      </c>
      <c r="B5" s="8">
        <f>'Sb_Model'!B9</f>
        <v/>
      </c>
      <c r="C5" s="4">
        <f>'Sb_Model'!B6</f>
        <v/>
      </c>
      <c r="D5" s="4">
        <f>'Sb_Model'!B8</f>
        <v/>
      </c>
      <c r="E5" s="4">
        <f>'Sb_Model'!B20</f>
        <v/>
      </c>
      <c r="F5" s="4">
        <f>'Sb_Model'!D20</f>
        <v/>
      </c>
      <c r="G5" s="4">
        <f>'Sb_Model'!B28</f>
        <v/>
      </c>
      <c r="H5" s="4">
        <f>'Sb_Model'!D28</f>
        <v/>
      </c>
      <c r="I5" s="4">
        <f>'Sb_Model'!B30</f>
        <v/>
      </c>
      <c r="J5" s="4">
        <f>'Sb_Model'!B27</f>
        <v/>
      </c>
      <c r="K5" s="4">
        <f>'Sb_Model'!D27</f>
        <v/>
      </c>
      <c r="L5" s="2" t="inlineStr">
        <is>
          <t>样品代表性、As/Hg/Pb/Cd、合法出口</t>
        </is>
      </c>
    </row>
    <row r="6" ht="22" customHeight="1">
      <c r="A6" s="2" t="inlineStr">
        <is>
          <t>WO3</t>
        </is>
      </c>
      <c r="B6" s="8">
        <f>'WO3_Model'!B9</f>
        <v/>
      </c>
      <c r="C6" s="4">
        <f>'WO3_Model'!B6</f>
        <v/>
      </c>
      <c r="D6" s="4">
        <f>'WO3_Model'!B8</f>
        <v/>
      </c>
      <c r="E6" s="4">
        <f>'WO3_Model'!B20</f>
        <v/>
      </c>
      <c r="F6" s="4">
        <f>'WO3_Model'!D20</f>
        <v/>
      </c>
      <c r="G6" s="4">
        <f>'WO3_Model'!B28</f>
        <v/>
      </c>
      <c r="H6" s="4">
        <f>'WO3_Model'!D28</f>
        <v/>
      </c>
      <c r="I6" s="4">
        <f>'WO3_Model'!B30</f>
        <v/>
      </c>
      <c r="J6" s="4">
        <f>'WO3_Model'!B27</f>
        <v/>
      </c>
      <c r="K6" s="4">
        <f>'WO3_Model'!D27</f>
        <v/>
      </c>
      <c r="L6" s="2" t="inlineStr">
        <is>
          <t>3TG/OECD/RMI追溯、Sn/Mo/U/Th</t>
        </is>
      </c>
    </row>
    <row r="7" ht="22" customHeight="1">
      <c r="A7" s="2" t="inlineStr">
        <is>
          <t>Li2O</t>
        </is>
      </c>
      <c r="B7" s="8">
        <f>'Li2O_Model'!B9</f>
        <v/>
      </c>
      <c r="C7" s="4">
        <f>'Li2O_Model'!B6</f>
        <v/>
      </c>
      <c r="D7" s="4">
        <f>'Li2O_Model'!B8</f>
        <v/>
      </c>
      <c r="E7" s="4">
        <f>'Li2O_Model'!B20</f>
        <v/>
      </c>
      <c r="F7" s="4">
        <f>'Li2O_Model'!D20</f>
        <v/>
      </c>
      <c r="G7" s="4">
        <f>'Li2O_Model'!B28</f>
        <v/>
      </c>
      <c r="H7" s="4">
        <f>'Li2O_Model'!D28</f>
        <v/>
      </c>
      <c r="I7" s="4">
        <f>'Li2O_Model'!B30</f>
        <v/>
      </c>
      <c r="J7" s="4">
        <f>'Li2O_Model'!B27</f>
        <v/>
      </c>
      <c r="K7" s="4">
        <f>'Li2O_Model'!D27</f>
        <v/>
      </c>
      <c r="L7" s="2" t="inlineStr">
        <is>
          <t>6%基准适用性、云母/辉石差异、杂质</t>
        </is>
      </c>
    </row>
    <row r="8" ht="22" customHeight="1">
      <c r="A8" s="2" t="inlineStr">
        <is>
          <t>Cu</t>
        </is>
      </c>
      <c r="B8" s="8">
        <f>'Cu_Model'!B9</f>
        <v/>
      </c>
      <c r="C8" s="4">
        <f>'Cu_Model'!B6</f>
        <v/>
      </c>
      <c r="D8" s="4">
        <f>'Cu_Model'!B8</f>
        <v/>
      </c>
      <c r="E8" s="4">
        <f>'Cu_Model'!B20</f>
        <v/>
      </c>
      <c r="F8" s="4">
        <f>'Cu_Model'!D20</f>
        <v/>
      </c>
      <c r="G8" s="4">
        <f>'Cu_Model'!B28</f>
        <v/>
      </c>
      <c r="H8" s="4">
        <f>'Cu_Model'!D28</f>
        <v/>
      </c>
      <c r="I8" s="4">
        <f>'Cu_Model'!B30</f>
        <v/>
      </c>
      <c r="J8" s="4">
        <f>'Cu_Model'!B27</f>
        <v/>
      </c>
      <c r="K8" s="4">
        <f>'Cu_Model'!D27</f>
        <v/>
      </c>
      <c r="L8" s="2" t="inlineStr">
        <is>
          <t>TC/RC、含金银副产品、砷/氟/汞</t>
        </is>
      </c>
    </row>
  </sheetData>
  <mergeCells count="2">
    <mergeCell ref="A2:L2"/>
    <mergeCell ref="A1:L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28" customWidth="1" min="2" max="2"/>
    <col width="28" customWidth="1" min="3" max="3"/>
    <col width="28" customWidth="1" min="4" max="4"/>
    <col width="28" customWidth="1" min="5" max="5"/>
    <col width="34" customWidth="1" min="6" max="6"/>
  </cols>
  <sheetData>
    <row r="1" ht="22" customHeight="1">
      <c r="A1" s="1" t="inlineStr">
        <is>
          <t>Downstream Quote</t>
        </is>
      </c>
      <c r="B1" s="2" t="n"/>
      <c r="C1" s="2" t="n"/>
      <c r="D1" s="2" t="n"/>
      <c r="E1" s="2" t="n"/>
      <c r="F1" s="2" t="n"/>
    </row>
    <row r="2" ht="22" customHeight="1">
      <c r="A2" s="2" t="inlineStr">
        <is>
          <t>可复制给下游客户的Indicative Offer模板</t>
        </is>
      </c>
      <c r="B2" s="2" t="n"/>
      <c r="C2" s="2" t="n"/>
      <c r="D2" s="2" t="n"/>
      <c r="E2" s="2" t="n"/>
      <c r="F2" s="2" t="n"/>
    </row>
    <row r="3" ht="22" customHeight="1">
      <c r="A3" s="2" t="n"/>
      <c r="B3" s="2" t="n"/>
      <c r="C3" s="2" t="n"/>
      <c r="D3" s="2" t="n"/>
      <c r="E3" s="2" t="n"/>
      <c r="F3" s="2" t="n"/>
    </row>
    <row r="4" ht="22" customHeight="1">
      <c r="A4" s="1" t="inlineStr">
        <is>
          <t>Field</t>
        </is>
      </c>
      <c r="B4" s="1" t="inlineStr">
        <is>
          <t>Sb Offer</t>
        </is>
      </c>
      <c r="C4" s="1" t="inlineStr">
        <is>
          <t>WO3 Offer</t>
        </is>
      </c>
      <c r="D4" s="1" t="inlineStr">
        <is>
          <t>Li2O Offer</t>
        </is>
      </c>
      <c r="E4" s="1" t="inlineStr">
        <is>
          <t>Cu Offer</t>
        </is>
      </c>
      <c r="F4" s="1" t="inlineStr">
        <is>
          <t>Remarks</t>
        </is>
      </c>
    </row>
    <row r="5" ht="22" customHeight="1">
      <c r="A5" s="2" t="inlineStr">
        <is>
          <t>Seller</t>
        </is>
      </c>
      <c r="B5" s="4">
        <f>Global_Assumptions!B9</f>
        <v/>
      </c>
      <c r="C5" s="4">
        <f>Global_Assumptions!B9</f>
        <v/>
      </c>
      <c r="D5" s="4">
        <f>Global_Assumptions!B9</f>
        <v/>
      </c>
      <c r="E5" s="4">
        <f>Global_Assumptions!B9</f>
        <v/>
      </c>
      <c r="F5" s="2" t="inlineStr">
        <is>
          <t>贸易主体</t>
        </is>
      </c>
    </row>
    <row r="6" ht="22" customHeight="1">
      <c r="A6" s="2" t="inlineStr">
        <is>
          <t>Origin</t>
        </is>
      </c>
      <c r="B6" s="4">
        <f>Global_Assumptions!B8</f>
        <v/>
      </c>
      <c r="C6" s="4">
        <f>Global_Assumptions!B8</f>
        <v/>
      </c>
      <c r="D6" s="4">
        <f>Global_Assumptions!B8</f>
        <v/>
      </c>
      <c r="E6" s="4">
        <f>Global_Assumptions!B8</f>
        <v/>
      </c>
      <c r="F6" s="2" t="inlineStr">
        <is>
          <t>矿源国</t>
        </is>
      </c>
    </row>
    <row r="7" ht="22" customHeight="1">
      <c r="A7" s="2" t="inlineStr">
        <is>
          <t>Delivery Port</t>
        </is>
      </c>
      <c r="B7" s="4">
        <f>Global_Assumptions!B7</f>
        <v/>
      </c>
      <c r="C7" s="4">
        <f>Global_Assumptions!B7</f>
        <v/>
      </c>
      <c r="D7" s="4">
        <f>Global_Assumptions!B7</f>
        <v/>
      </c>
      <c r="E7" s="4">
        <f>Global_Assumptions!B7</f>
        <v/>
      </c>
      <c r="F7" s="2" t="inlineStr">
        <is>
          <t>FOB/CIF可调整</t>
        </is>
      </c>
    </row>
    <row r="8" ht="22" customHeight="1">
      <c r="A8" s="2" t="inlineStr">
        <is>
          <t>Product</t>
        </is>
      </c>
      <c r="B8" s="2" t="inlineStr">
        <is>
          <t>Antimony Concentrate</t>
        </is>
      </c>
      <c r="C8" s="2" t="inlineStr">
        <is>
          <t>Tungsten Concentrate</t>
        </is>
      </c>
      <c r="D8" s="2" t="inlineStr">
        <is>
          <t>Lithium Concentrate</t>
        </is>
      </c>
      <c r="E8" s="2" t="inlineStr">
        <is>
          <t>Copper Concentrate</t>
        </is>
      </c>
      <c r="F8" s="2" t="inlineStr"/>
    </row>
    <row r="9" ht="22" customHeight="1">
      <c r="A9" s="2" t="inlineStr">
        <is>
          <t>Grade</t>
        </is>
      </c>
      <c r="B9" s="4">
        <f>Sb_Model!B9</f>
        <v/>
      </c>
      <c r="C9" s="4">
        <f>WO3_Model!B9</f>
        <v/>
      </c>
      <c r="D9" s="4">
        <f>Li2O_Model!B9</f>
        <v/>
      </c>
      <c r="E9" s="4">
        <f>Cu_Model!B9</f>
        <v/>
      </c>
      <c r="F9" s="2" t="inlineStr">
        <is>
          <t>Dry basis</t>
        </is>
      </c>
    </row>
    <row r="10" ht="22" customHeight="1">
      <c r="A10" s="2" t="inlineStr">
        <is>
          <t>Quantity WMT</t>
        </is>
      </c>
      <c r="B10" s="4">
        <f>Sb_Model!B6</f>
        <v/>
      </c>
      <c r="C10" s="4">
        <f>WO3_Model!B6</f>
        <v/>
      </c>
      <c r="D10" s="4">
        <f>Li2O_Model!B6</f>
        <v/>
      </c>
      <c r="E10" s="4">
        <f>Cu_Model!B6</f>
        <v/>
      </c>
      <c r="F10" s="2" t="inlineStr">
        <is>
          <t>Wet metric ton</t>
        </is>
      </c>
    </row>
    <row r="11" ht="22" customHeight="1">
      <c r="A11" s="2" t="inlineStr">
        <is>
          <t>Quantity DMT</t>
        </is>
      </c>
      <c r="B11" s="4">
        <f>Sb_Model!B8</f>
        <v/>
      </c>
      <c r="C11" s="4">
        <f>WO3_Model!B8</f>
        <v/>
      </c>
      <c r="D11" s="4">
        <f>Li2O_Model!B8</f>
        <v/>
      </c>
      <c r="E11" s="4">
        <f>Cu_Model!B8</f>
        <v/>
      </c>
      <c r="F11" s="2" t="inlineStr">
        <is>
          <t>Dry metric ton</t>
        </is>
      </c>
    </row>
    <row r="12" ht="22" customHeight="1">
      <c r="A12" s="2" t="inlineStr">
        <is>
          <t>Indicative Revenue / DMT</t>
        </is>
      </c>
      <c r="B12" s="4">
        <f>Sb_Model!B20</f>
        <v/>
      </c>
      <c r="C12" s="4">
        <f>WO3_Model!B20</f>
        <v/>
      </c>
      <c r="D12" s="4">
        <f>Li2O_Model!B20</f>
        <v/>
      </c>
      <c r="E12" s="4">
        <f>Cu_Model!B20</f>
        <v/>
      </c>
      <c r="F12" s="2" t="inlineStr">
        <is>
          <t>Before final assay adjustment</t>
        </is>
      </c>
    </row>
    <row r="13" ht="22" customHeight="1">
      <c r="A13" s="2" t="inlineStr">
        <is>
          <t>Currency</t>
        </is>
      </c>
      <c r="B13" s="2" t="inlineStr">
        <is>
          <t>USD/DMT</t>
        </is>
      </c>
      <c r="C13" s="2" t="inlineStr">
        <is>
          <t>USD/DMT</t>
        </is>
      </c>
      <c r="D13" s="2" t="inlineStr">
        <is>
          <t>USD/DMT</t>
        </is>
      </c>
      <c r="E13" s="2" t="inlineStr">
        <is>
          <t>USD/DMT</t>
        </is>
      </c>
      <c r="F13" s="2" t="inlineStr">
        <is>
          <t>International route</t>
        </is>
      </c>
    </row>
    <row r="14" ht="22" customHeight="1">
      <c r="A14" s="2" t="inlineStr">
        <is>
          <t>Incoterms</t>
        </is>
      </c>
      <c r="B14" s="2" t="inlineStr">
        <is>
          <t>FOB Douala / CIF buyer port</t>
        </is>
      </c>
      <c r="C14" s="2" t="inlineStr">
        <is>
          <t>FOB Douala / CIF buyer port</t>
        </is>
      </c>
      <c r="D14" s="2" t="inlineStr">
        <is>
          <t>FOB port / CIF buyer port</t>
        </is>
      </c>
      <c r="E14" s="2" t="inlineStr">
        <is>
          <t>FOB port / CIF buyer port</t>
        </is>
      </c>
      <c r="F14" s="2" t="inlineStr">
        <is>
          <t>To be negotiated</t>
        </is>
      </c>
    </row>
    <row r="15" ht="22" customHeight="1">
      <c r="A15" s="2" t="inlineStr">
        <is>
          <t>Inspection</t>
        </is>
      </c>
      <c r="B15" s="2" t="inlineStr">
        <is>
          <t>SGS/AHK at loading port</t>
        </is>
      </c>
      <c r="C15" s="2" t="inlineStr">
        <is>
          <t>SGS/AHK at loading port</t>
        </is>
      </c>
      <c r="D15" s="2" t="inlineStr">
        <is>
          <t>SGS/AHK at loading port</t>
        </is>
      </c>
      <c r="E15" s="2" t="inlineStr">
        <is>
          <t>SGS/AHK at loading port</t>
        </is>
      </c>
      <c r="F15" s="2" t="inlineStr">
        <is>
          <t>Final assay rules required</t>
        </is>
      </c>
    </row>
    <row r="16" ht="22" customHeight="1">
      <c r="A16" s="2" t="inlineStr">
        <is>
          <t>Payment</t>
        </is>
      </c>
      <c r="B16" s="2" t="inlineStr">
        <is>
          <t>LC or TT against docs + final assay</t>
        </is>
      </c>
      <c r="C16" s="2" t="inlineStr">
        <is>
          <t>LC or TT against docs + final assay</t>
        </is>
      </c>
      <c r="D16" s="2" t="inlineStr">
        <is>
          <t>LC or TT against docs + final assay</t>
        </is>
      </c>
      <c r="E16" s="2" t="inlineStr">
        <is>
          <t>LC or TT against docs + final assay</t>
        </is>
      </c>
      <c r="F16" s="2" t="inlineStr">
        <is>
          <t>Trial shipment recommended</t>
        </is>
      </c>
    </row>
    <row r="17" ht="22" customHeight="1">
      <c r="A17" s="2" t="inlineStr">
        <is>
          <t>Validity</t>
        </is>
      </c>
      <c r="B17" s="2" t="inlineStr">
        <is>
          <t>3 business days</t>
        </is>
      </c>
      <c r="C17" s="2" t="inlineStr">
        <is>
          <t>3 business days</t>
        </is>
      </c>
      <c r="D17" s="2" t="inlineStr">
        <is>
          <t>3 business days</t>
        </is>
      </c>
      <c r="E17" s="2" t="inlineStr">
        <is>
          <t>3 business days</t>
        </is>
      </c>
      <c r="F17" s="2" t="inlineStr">
        <is>
          <t>Subject to index update</t>
        </is>
      </c>
    </row>
  </sheetData>
  <mergeCells count="2">
    <mergeCell ref="A2:F2"/>
    <mergeCell ref="A1:F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90" customWidth="1" min="2" max="2"/>
    <col width="18" customWidth="1" min="3" max="3"/>
    <col width="16" customWidth="1" min="4" max="4"/>
  </cols>
  <sheetData>
    <row r="1" ht="22" customHeight="1">
      <c r="A1" s="1" t="inlineStr">
        <is>
          <t>Source Notes</t>
        </is>
      </c>
      <c r="B1" s="2" t="n"/>
      <c r="C1" s="2" t="n"/>
      <c r="D1" s="2" t="n"/>
    </row>
    <row r="2" ht="22" customHeight="1">
      <c r="A2" s="2" t="inlineStr">
        <is>
          <t>模型说明、口径和风险提示</t>
        </is>
      </c>
      <c r="B2" s="2" t="n"/>
      <c r="C2" s="2" t="n"/>
      <c r="D2" s="2" t="n"/>
    </row>
    <row r="3" ht="22" customHeight="1">
      <c r="A3" s="2" t="n"/>
      <c r="B3" s="2" t="n"/>
      <c r="C3" s="2" t="n"/>
      <c r="D3" s="2" t="n"/>
    </row>
    <row r="4" ht="22" customHeight="1">
      <c r="A4" s="1" t="inlineStr">
        <is>
          <t>Topic</t>
        </is>
      </c>
      <c r="B4" s="1" t="inlineStr">
        <is>
          <t>Note</t>
        </is>
      </c>
      <c r="C4" s="1" t="inlineStr">
        <is>
          <t>Owner</t>
        </is>
      </c>
      <c r="D4" s="1" t="inlineStr">
        <is>
          <t>Review</t>
        </is>
      </c>
    </row>
    <row r="5" ht="22" customHeight="1">
      <c r="A5" s="2" t="inlineStr">
        <is>
          <t>Pricing</t>
        </is>
      </c>
      <c r="B5" s="2" t="inlineStr">
        <is>
          <t>所有价格均为可编辑假设，不代表实时市场报价。正式报价前必须更新价格index。</t>
        </is>
      </c>
      <c r="C5" s="2" t="inlineStr">
        <is>
          <t>Commercial</t>
        </is>
      </c>
      <c r="D5" s="2" t="inlineStr">
        <is>
          <t>Required</t>
        </is>
      </c>
    </row>
    <row r="6" ht="22" customHeight="1">
      <c r="A6" s="2" t="inlineStr">
        <is>
          <t>Sb</t>
        </is>
      </c>
      <c r="B6" s="2" t="inlineStr">
        <is>
          <t>锑按金属吨含量×锑金属价×Payability计价，并扣TC和罚扣。</t>
        </is>
      </c>
      <c r="C6" s="2" t="inlineStr">
        <is>
          <t>Pricing</t>
        </is>
      </c>
      <c r="D6" s="2" t="inlineStr">
        <is>
          <t>Required</t>
        </is>
      </c>
    </row>
    <row r="7" ht="22" customHeight="1">
      <c r="A7" s="2" t="inlineStr">
        <is>
          <t>WO3</t>
        </is>
      </c>
      <c r="B7" s="2" t="inlineStr">
        <is>
          <t>钨按WO3吨度MTU×APT×Payability计价。非洲来源需重点准备3TG/OECD/RMI尽调资料。</t>
        </is>
      </c>
      <c r="C7" s="2" t="inlineStr">
        <is>
          <t>Compliance</t>
        </is>
      </c>
      <c r="D7" s="2" t="inlineStr">
        <is>
          <t>Required</t>
        </is>
      </c>
    </row>
    <row r="8" ht="22" customHeight="1">
      <c r="A8" s="2" t="inlineStr">
        <is>
          <t>Li2O</t>
        </is>
      </c>
      <c r="B8" s="2" t="inlineStr">
        <is>
          <t>锂按6%锂精矿基准折算，需区分锂辉石、锂云母和杂质条件。</t>
        </is>
      </c>
      <c r="C8" s="2" t="inlineStr">
        <is>
          <t>Pricing</t>
        </is>
      </c>
      <c r="D8" s="2" t="inlineStr">
        <is>
          <t>Required</t>
        </is>
      </c>
    </row>
    <row r="9" ht="22" customHeight="1">
      <c r="A9" s="2" t="inlineStr">
        <is>
          <t>Cu</t>
        </is>
      </c>
      <c r="B9" s="2" t="inlineStr">
        <is>
          <t>铜精矿真实贸易通常还需TC/RC、副产品、银金计价和有害元素罚扣，本V1为简化版。</t>
        </is>
      </c>
      <c r="C9" s="2" t="inlineStr">
        <is>
          <t>Pricing</t>
        </is>
      </c>
      <c r="D9" s="2" t="inlineStr">
        <is>
          <t>Required</t>
        </is>
      </c>
    </row>
    <row r="10" ht="22" customHeight="1">
      <c r="A10" s="2" t="inlineStr">
        <is>
          <t>Logistics</t>
        </is>
      </c>
      <c r="B10" s="2" t="inlineStr">
        <is>
          <t>公共物流费用集中在Logistics_Common，避免每个矿种重复维护。</t>
        </is>
      </c>
      <c r="C10" s="2" t="inlineStr">
        <is>
          <t>Operations</t>
        </is>
      </c>
      <c r="D10" s="2" t="inlineStr">
        <is>
          <t>Required</t>
        </is>
      </c>
    </row>
    <row r="11" ht="22" customHeight="1">
      <c r="A11" s="2" t="inlineStr">
        <is>
          <t>Inspection</t>
        </is>
      </c>
      <c r="B11" s="2" t="inlineStr">
        <is>
          <t>商业结算应以装船样、封样、第三方检验和买方复检条款为准。</t>
        </is>
      </c>
      <c r="C11" s="2" t="inlineStr">
        <is>
          <t>Operations</t>
        </is>
      </c>
      <c r="D11" s="2" t="inlineStr">
        <is>
          <t>Required</t>
        </is>
      </c>
    </row>
    <row r="12" ht="22" customHeight="1">
      <c r="A12" s="2" t="inlineStr">
        <is>
          <t>Legal</t>
        </is>
      </c>
      <c r="B12" s="2" t="inlineStr">
        <is>
          <t>本模型不替代合同、法律、税务、海关或制裁合规意见。</t>
        </is>
      </c>
      <c r="C12" s="2" t="inlineStr">
        <is>
          <t>Legal</t>
        </is>
      </c>
      <c r="D12" s="2" t="inlineStr">
        <is>
          <t>Required</t>
        </is>
      </c>
    </row>
  </sheetData>
  <mergeCells count="2">
    <mergeCell ref="A1:D1"/>
    <mergeCell ref="A2:D2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34" customWidth="1" min="7" max="7"/>
  </cols>
  <sheetData>
    <row r="1" ht="22" customHeight="1">
      <c r="A1" s="1" t="inlineStr">
        <is>
          <t>Validation Checks</t>
        </is>
      </c>
      <c r="B1" s="2" t="n"/>
      <c r="C1" s="2" t="n"/>
      <c r="D1" s="2" t="n"/>
      <c r="E1" s="2" t="n"/>
      <c r="F1" s="2" t="n"/>
      <c r="G1" s="2" t="n"/>
    </row>
    <row r="2" ht="22" customHeight="1">
      <c r="A2" s="2" t="inlineStr">
        <is>
          <t>关键输入、公式和商业合理性检查</t>
        </is>
      </c>
      <c r="B2" s="2" t="n"/>
      <c r="C2" s="2" t="n"/>
      <c r="D2" s="2" t="n"/>
      <c r="E2" s="2" t="n"/>
      <c r="F2" s="2" t="n"/>
      <c r="G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</row>
    <row r="4" ht="22" customHeight="1">
      <c r="A4" s="1" t="inlineStr">
        <is>
          <t>Check</t>
        </is>
      </c>
      <c r="B4" s="1" t="inlineStr">
        <is>
          <t>Sb</t>
        </is>
      </c>
      <c r="C4" s="1" t="inlineStr">
        <is>
          <t>WO3</t>
        </is>
      </c>
      <c r="D4" s="1" t="inlineStr">
        <is>
          <t>Li2O</t>
        </is>
      </c>
      <c r="E4" s="1" t="inlineStr">
        <is>
          <t>Cu</t>
        </is>
      </c>
      <c r="F4" s="1" t="inlineStr">
        <is>
          <t>Rule</t>
        </is>
      </c>
      <c r="G4" s="1" t="inlineStr">
        <is>
          <t>Action</t>
        </is>
      </c>
    </row>
    <row r="5" ht="22" customHeight="1">
      <c r="A5" s="2" t="inlineStr">
        <is>
          <t>Moisture</t>
        </is>
      </c>
      <c r="B5" s="4">
        <f>Sb_Model!F6</f>
        <v/>
      </c>
      <c r="C5" s="4">
        <f>WO3_Model!F6</f>
        <v/>
      </c>
      <c r="D5" s="4">
        <f>Li2O_Model!F6</f>
        <v/>
      </c>
      <c r="E5" s="4">
        <f>Cu_Model!F6</f>
        <v/>
      </c>
      <c r="F5" s="2" t="inlineStr">
        <is>
          <t>0%-30%</t>
        </is>
      </c>
      <c r="G5" s="2" t="inlineStr">
        <is>
          <t>异常则复核水分和干吨</t>
        </is>
      </c>
    </row>
    <row r="6" ht="22" customHeight="1">
      <c r="A6" s="2" t="inlineStr">
        <is>
          <t>Grade</t>
        </is>
      </c>
      <c r="B6" s="4">
        <f>Sb_Model!F7</f>
        <v/>
      </c>
      <c r="C6" s="4">
        <f>WO3_Model!F7</f>
        <v/>
      </c>
      <c r="D6" s="4">
        <f>Li2O_Model!F7</f>
        <v/>
      </c>
      <c r="E6" s="4">
        <f>Cu_Model!F7</f>
        <v/>
      </c>
      <c r="F6" s="2" t="inlineStr">
        <is>
          <t>0%-100%</t>
        </is>
      </c>
      <c r="G6" s="2" t="inlineStr">
        <is>
          <t>异常则复核品位单位</t>
        </is>
      </c>
    </row>
    <row r="7" ht="22" customHeight="1">
      <c r="A7" s="2" t="inlineStr">
        <is>
          <t>Payability</t>
        </is>
      </c>
      <c r="B7" s="4">
        <f>Sb_Model!F8</f>
        <v/>
      </c>
      <c r="C7" s="4">
        <f>WO3_Model!F8</f>
        <v/>
      </c>
      <c r="D7" s="4">
        <f>Li2O_Model!F8</f>
        <v/>
      </c>
      <c r="E7" s="4">
        <f>Cu_Model!F8</f>
        <v/>
      </c>
      <c r="F7" s="2" t="inlineStr">
        <is>
          <t>0%-100%</t>
        </is>
      </c>
      <c r="G7" s="2" t="inlineStr">
        <is>
          <t>异常则复核计价系数</t>
        </is>
      </c>
    </row>
    <row r="8" ht="22" customHeight="1">
      <c r="A8" s="2" t="inlineStr">
        <is>
          <t>Gross Margin</t>
        </is>
      </c>
      <c r="B8" s="4">
        <f>IF(AND(Sb_Model!B29&gt;-0.2,Sb_Model!B29&lt;0.6),"OK","Check margin")</f>
        <v/>
      </c>
      <c r="C8" s="4">
        <f>IF(AND(WO3_Model!B29&gt;-0.2,WO3_Model!B29&lt;0.6),"OK","Check margin")</f>
        <v/>
      </c>
      <c r="D8" s="4">
        <f>IF(AND(Li2O_Model!B29&gt;-0.2,Li2O_Model!B29&lt;0.6),"OK","Check margin")</f>
        <v/>
      </c>
      <c r="E8" s="4">
        <f>IF(AND(Cu_Model!B29&gt;-0.2,Cu_Model!B29&lt;0.6),"OK","Check margin")</f>
        <v/>
      </c>
      <c r="F8" s="2" t="inlineStr">
        <is>
          <t>-20% to 60%</t>
        </is>
      </c>
      <c r="G8" s="2" t="inlineStr">
        <is>
          <t>异常高/低都需复核价格和成本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14" customWidth="1" min="3" max="3"/>
    <col width="34" customWidth="1" min="4" max="4"/>
    <col width="34" customWidth="1" min="5" max="5"/>
  </cols>
  <sheetData>
    <row r="1" ht="22" customHeight="1">
      <c r="A1" s="1" t="inlineStr">
        <is>
          <t>Global Assumptions</t>
        </is>
      </c>
      <c r="B1" s="2" t="n"/>
      <c r="C1" s="2" t="n"/>
      <c r="D1" s="2" t="n"/>
      <c r="E1" s="2" t="n"/>
    </row>
    <row r="2" ht="22" customHeight="1">
      <c r="A2" s="2" t="inlineStr">
        <is>
          <t>全局参数：供各矿种模型调用</t>
        </is>
      </c>
      <c r="B2" s="2" t="n"/>
      <c r="C2" s="2" t="n"/>
      <c r="D2" s="2" t="n"/>
      <c r="E2" s="2" t="n"/>
    </row>
    <row r="3" ht="22" customHeight="1">
      <c r="A3" s="2" t="n"/>
      <c r="B3" s="2" t="n"/>
      <c r="C3" s="2" t="n"/>
      <c r="D3" s="2" t="n"/>
      <c r="E3" s="2" t="n"/>
    </row>
    <row r="4" ht="22" customHeight="1">
      <c r="A4" s="1" t="inlineStr">
        <is>
          <t>Code</t>
        </is>
      </c>
      <c r="B4" s="1" t="inlineStr">
        <is>
          <t>Value</t>
        </is>
      </c>
      <c r="C4" s="1" t="inlineStr">
        <is>
          <t>Unit</t>
        </is>
      </c>
      <c r="D4" s="1" t="inlineStr">
        <is>
          <t>Description</t>
        </is>
      </c>
      <c r="E4" s="1" t="inlineStr">
        <is>
          <t>Source / Note</t>
        </is>
      </c>
    </row>
    <row r="5" ht="22" customHeight="1">
      <c r="A5" s="2" t="inlineStr">
        <is>
          <t>FX_USD_RMB</t>
        </is>
      </c>
      <c r="B5" s="5" t="n">
        <v>7.2</v>
      </c>
      <c r="C5" s="2" t="inlineStr">
        <is>
          <t>RMB/USD</t>
        </is>
      </c>
      <c r="D5" s="2" t="inlineStr">
        <is>
          <t>美元兑人民币汇率</t>
        </is>
      </c>
      <c r="E5" s="2" t="inlineStr">
        <is>
          <t>User input</t>
        </is>
      </c>
    </row>
    <row r="6" ht="22" customHeight="1">
      <c r="A6" s="2" t="inlineStr">
        <is>
          <t>Default_Quantity_WMT</t>
        </is>
      </c>
      <c r="B6" s="5" t="n">
        <v>100</v>
      </c>
      <c r="C6" s="2" t="inlineStr">
        <is>
          <t>WMT</t>
        </is>
      </c>
      <c r="D6" s="2" t="inlineStr">
        <is>
          <t>默认湿吨数量</t>
        </is>
      </c>
      <c r="E6" s="2" t="inlineStr">
        <is>
          <t>User input</t>
        </is>
      </c>
    </row>
    <row r="7" ht="22" customHeight="1">
      <c r="A7" s="2" t="inlineStr">
        <is>
          <t>FOB_Port</t>
        </is>
      </c>
      <c r="B7" s="5" t="inlineStr">
        <is>
          <t>Douala, Cameroon</t>
        </is>
      </c>
      <c r="C7" s="2" t="inlineStr">
        <is>
          <t>-</t>
        </is>
      </c>
      <c r="D7" s="2" t="inlineStr">
        <is>
          <t>默认上游交货港</t>
        </is>
      </c>
      <c r="E7" s="2" t="inlineStr">
        <is>
          <t>User input</t>
        </is>
      </c>
    </row>
    <row r="8" ht="22" customHeight="1">
      <c r="A8" s="2" t="inlineStr">
        <is>
          <t>Origin</t>
        </is>
      </c>
      <c r="B8" s="5" t="inlineStr">
        <is>
          <t>Chad</t>
        </is>
      </c>
      <c r="C8" s="2" t="inlineStr">
        <is>
          <t>-</t>
        </is>
      </c>
      <c r="D8" s="2" t="inlineStr">
        <is>
          <t>默认矿源国</t>
        </is>
      </c>
      <c r="E8" s="2" t="inlineStr">
        <is>
          <t>User input</t>
        </is>
      </c>
    </row>
    <row r="9" ht="22" customHeight="1">
      <c r="A9" s="2" t="inlineStr">
        <is>
          <t>Trader_Entity</t>
        </is>
      </c>
      <c r="B9" s="5" t="inlineStr">
        <is>
          <t>Hong Kong SPV</t>
        </is>
      </c>
      <c r="C9" s="2" t="inlineStr">
        <is>
          <t>-</t>
        </is>
      </c>
      <c r="D9" s="2" t="inlineStr">
        <is>
          <t>离岸贸易主体</t>
        </is>
      </c>
      <c r="E9" s="2" t="inlineStr">
        <is>
          <t>User input</t>
        </is>
      </c>
    </row>
    <row r="10" ht="22" customHeight="1">
      <c r="A10" s="2" t="inlineStr">
        <is>
          <t>Model_Version</t>
        </is>
      </c>
      <c r="B10" s="5" t="inlineStr">
        <is>
          <t>V1.0</t>
        </is>
      </c>
      <c r="C10" s="2" t="inlineStr">
        <is>
          <t>-</t>
        </is>
      </c>
      <c r="D10" s="2" t="inlineStr">
        <is>
          <t>GCTS多矿种报价引擎</t>
        </is>
      </c>
      <c r="E10" s="2" t="inlineStr">
        <is>
          <t>Generated 2026-07-06</t>
        </is>
      </c>
    </row>
    <row r="11" ht="22" customHeight="1">
      <c r="A11" s="2" t="inlineStr">
        <is>
          <t>Payment_Advance_%</t>
        </is>
      </c>
      <c r="B11" s="5" t="n">
        <v>0</v>
      </c>
      <c r="C11" s="2" t="inlineStr">
        <is>
          <t>%</t>
        </is>
      </c>
      <c r="D11" s="2" t="inlineStr">
        <is>
          <t>预付款比例</t>
        </is>
      </c>
      <c r="E11" s="2" t="inlineStr">
        <is>
          <t>首票建议尽量降低</t>
        </is>
      </c>
    </row>
    <row r="12" ht="22" customHeight="1">
      <c r="A12" s="2" t="inlineStr">
        <is>
          <t>Payment_Documents_%</t>
        </is>
      </c>
      <c r="B12" s="6" t="n">
        <v>0.7</v>
      </c>
      <c r="C12" s="2" t="inlineStr">
        <is>
          <t>%</t>
        </is>
      </c>
      <c r="D12" s="2" t="inlineStr">
        <is>
          <t>装船单据付款比例</t>
        </is>
      </c>
      <c r="E12" s="2" t="inlineStr">
        <is>
          <t>User input</t>
        </is>
      </c>
    </row>
    <row r="13" ht="22" customHeight="1">
      <c r="A13" s="2" t="inlineStr">
        <is>
          <t>Payment_Final_Assay_%</t>
        </is>
      </c>
      <c r="B13" s="6" t="n">
        <v>0.3</v>
      </c>
      <c r="C13" s="2" t="inlineStr">
        <is>
          <t>%</t>
        </is>
      </c>
      <c r="D13" s="2" t="inlineStr">
        <is>
          <t>到港复检尾款比例</t>
        </is>
      </c>
      <c r="E13" s="2" t="inlineStr">
        <is>
          <t>User input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14" customWidth="1" min="3" max="3"/>
    <col width="12" customWidth="1" min="4" max="4"/>
    <col width="12" customWidth="1" min="5" max="5"/>
    <col width="15" customWidth="1" min="6" max="6"/>
    <col width="12" customWidth="1" min="7" max="7"/>
    <col width="12" customWidth="1" min="8" max="8"/>
    <col width="12" customWidth="1" min="9" max="9"/>
    <col width="34" customWidth="1" min="10" max="10"/>
  </cols>
  <sheetData>
    <row r="1" ht="22" customHeight="1">
      <c r="A1" s="1" t="inlineStr">
        <is>
          <t>Logistics Common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2" customHeight="1">
      <c r="A2" s="2" t="inlineStr">
        <is>
          <t>公共物流、清关、检验、银行、保险、合规费用集中维护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 ht="22" customHeight="1">
      <c r="A4" s="1" t="inlineStr">
        <is>
          <t>Cost Item</t>
        </is>
      </c>
      <c r="B4" s="1" t="inlineStr">
        <is>
          <t>Stage</t>
        </is>
      </c>
      <c r="C4" s="1" t="inlineStr">
        <is>
          <t>Basis</t>
        </is>
      </c>
      <c r="D4" s="1" t="inlineStr">
        <is>
          <t>USD/WMT</t>
        </is>
      </c>
      <c r="E4" s="1" t="inlineStr">
        <is>
          <t>USD/DMT</t>
        </is>
      </c>
      <c r="F4" s="1" t="inlineStr">
        <is>
          <t>Fixed USD/lot</t>
        </is>
      </c>
      <c r="G4" s="1" t="inlineStr">
        <is>
          <t>% Value</t>
        </is>
      </c>
      <c r="H4" s="1" t="inlineStr">
        <is>
          <t>% Cost</t>
        </is>
      </c>
      <c r="I4" s="1" t="inlineStr">
        <is>
          <t>Enabled</t>
        </is>
      </c>
      <c r="J4" s="1" t="inlineStr">
        <is>
          <t>Note</t>
        </is>
      </c>
    </row>
    <row r="5" ht="22" customHeight="1">
      <c r="A5" s="2" t="inlineStr">
        <is>
          <t>Mine/Warehouse to N'Djamena</t>
        </is>
      </c>
      <c r="B5" s="2" t="inlineStr">
        <is>
          <t>Chad Inland</t>
        </is>
      </c>
      <c r="C5" s="2" t="inlineStr">
        <is>
          <t>Per WMT</t>
        </is>
      </c>
      <c r="D5" s="5" t="n">
        <v>80</v>
      </c>
      <c r="E5" s="5" t="n">
        <v>0</v>
      </c>
      <c r="F5" s="5" t="n">
        <v>0</v>
      </c>
      <c r="G5" s="6" t="n">
        <v>0</v>
      </c>
      <c r="H5" s="6" t="n">
        <v>0</v>
      </c>
      <c r="I5" s="3" t="inlineStr">
        <is>
          <t>Yes</t>
        </is>
      </c>
      <c r="J5" s="2" t="inlineStr">
        <is>
          <t>按实际路线调整</t>
        </is>
      </c>
    </row>
    <row r="6" ht="22" customHeight="1">
      <c r="A6" s="2" t="inlineStr">
        <is>
          <t>N'Djamena to Cameroon Border</t>
        </is>
      </c>
      <c r="B6" s="2" t="inlineStr">
        <is>
          <t>Chad Inland</t>
        </is>
      </c>
      <c r="C6" s="2" t="inlineStr">
        <is>
          <t>Per WMT</t>
        </is>
      </c>
      <c r="D6" s="5" t="n">
        <v>120</v>
      </c>
      <c r="E6" s="5" t="n">
        <v>0</v>
      </c>
      <c r="F6" s="5" t="n">
        <v>0</v>
      </c>
      <c r="G6" s="6" t="n">
        <v>0</v>
      </c>
      <c r="H6" s="6" t="n">
        <v>0</v>
      </c>
      <c r="I6" s="3" t="inlineStr">
        <is>
          <t>Yes</t>
        </is>
      </c>
      <c r="J6" s="2" t="inlineStr">
        <is>
          <t>道路、燃油、卡车</t>
        </is>
      </c>
    </row>
    <row r="7" ht="22" customHeight="1">
      <c r="A7" s="2" t="inlineStr">
        <is>
          <t>Cameroon Transit to Douala</t>
        </is>
      </c>
      <c r="B7" s="2" t="inlineStr">
        <is>
          <t>Cameroon Inland</t>
        </is>
      </c>
      <c r="C7" s="2" t="inlineStr">
        <is>
          <t>Per WMT</t>
        </is>
      </c>
      <c r="D7" s="5" t="n">
        <v>95</v>
      </c>
      <c r="E7" s="5" t="n">
        <v>0</v>
      </c>
      <c r="F7" s="5" t="n">
        <v>0</v>
      </c>
      <c r="G7" s="6" t="n">
        <v>0</v>
      </c>
      <c r="H7" s="6" t="n">
        <v>0</v>
      </c>
      <c r="I7" s="3" t="inlineStr">
        <is>
          <t>Yes</t>
        </is>
      </c>
      <c r="J7" s="2" t="inlineStr">
        <is>
          <t>内陆国过境成本</t>
        </is>
      </c>
    </row>
    <row r="8" ht="22" customHeight="1">
      <c r="A8" s="2" t="inlineStr">
        <is>
          <t>Security / Escort / Local Handling</t>
        </is>
      </c>
      <c r="B8" s="2" t="inlineStr">
        <is>
          <t>Security</t>
        </is>
      </c>
      <c r="C8" s="2" t="inlineStr">
        <is>
          <t>Per WMT</t>
        </is>
      </c>
      <c r="D8" s="5" t="n">
        <v>25</v>
      </c>
      <c r="E8" s="5" t="n">
        <v>0</v>
      </c>
      <c r="F8" s="5" t="n">
        <v>0</v>
      </c>
      <c r="G8" s="6" t="n">
        <v>0</v>
      </c>
      <c r="H8" s="6" t="n">
        <v>0</v>
      </c>
      <c r="I8" s="3" t="inlineStr">
        <is>
          <t>Yes</t>
        </is>
      </c>
      <c r="J8" s="2" t="inlineStr">
        <is>
          <t>高风险区域建议单列</t>
        </is>
      </c>
    </row>
    <row r="9" ht="22" customHeight="1">
      <c r="A9" s="2" t="inlineStr">
        <is>
          <t>Douala Port THC / CFS / Loading</t>
        </is>
      </c>
      <c r="B9" s="2" t="inlineStr">
        <is>
          <t>Port</t>
        </is>
      </c>
      <c r="C9" s="2" t="inlineStr">
        <is>
          <t>Per DMT</t>
        </is>
      </c>
      <c r="D9" s="5" t="n">
        <v>0</v>
      </c>
      <c r="E9" s="5" t="n">
        <v>35</v>
      </c>
      <c r="F9" s="5" t="n">
        <v>0</v>
      </c>
      <c r="G9" s="6" t="n">
        <v>0</v>
      </c>
      <c r="H9" s="6" t="n">
        <v>0</v>
      </c>
      <c r="I9" s="3" t="inlineStr">
        <is>
          <t>Yes</t>
        </is>
      </c>
      <c r="J9" s="2" t="inlineStr">
        <is>
          <t>港杂、装箱、吊装</t>
        </is>
      </c>
    </row>
    <row r="10" ht="22" customHeight="1">
      <c r="A10" s="2" t="inlineStr">
        <is>
          <t>Chad Export Customs &amp; Docs</t>
        </is>
      </c>
      <c r="B10" s="2" t="inlineStr">
        <is>
          <t>Customs</t>
        </is>
      </c>
      <c r="C10" s="2" t="inlineStr">
        <is>
          <t>Fixed</t>
        </is>
      </c>
      <c r="D10" s="5" t="n">
        <v>0</v>
      </c>
      <c r="E10" s="5" t="n">
        <v>0</v>
      </c>
      <c r="F10" s="5" t="n">
        <v>800</v>
      </c>
      <c r="G10" s="6" t="n">
        <v>0</v>
      </c>
      <c r="H10" s="6" t="n">
        <v>0</v>
      </c>
      <c r="I10" s="3" t="inlineStr">
        <is>
          <t>Yes</t>
        </is>
      </c>
      <c r="J10" s="2" t="inlineStr">
        <is>
          <t>出口许可、CO、商业发票</t>
        </is>
      </c>
    </row>
    <row r="11" ht="22" customHeight="1">
      <c r="A11" s="2" t="inlineStr">
        <is>
          <t>Cameroon Transit &amp; Port Docs</t>
        </is>
      </c>
      <c r="B11" s="2" t="inlineStr">
        <is>
          <t>Customs</t>
        </is>
      </c>
      <c r="C11" s="2" t="inlineStr">
        <is>
          <t>Fixed</t>
        </is>
      </c>
      <c r="D11" s="5" t="n">
        <v>0</v>
      </c>
      <c r="E11" s="5" t="n">
        <v>0</v>
      </c>
      <c r="F11" s="5" t="n">
        <v>1200</v>
      </c>
      <c r="G11" s="6" t="n">
        <v>0</v>
      </c>
      <c r="H11" s="6" t="n">
        <v>0</v>
      </c>
      <c r="I11" s="3" t="inlineStr">
        <is>
          <t>Yes</t>
        </is>
      </c>
      <c r="J11" s="2" t="inlineStr">
        <is>
          <t>过境与港口文件</t>
        </is>
      </c>
    </row>
    <row r="12" ht="22" customHeight="1">
      <c r="A12" s="2" t="inlineStr">
        <is>
          <t>SGS/AHK Sampling &amp; Assay</t>
        </is>
      </c>
      <c r="B12" s="2" t="inlineStr">
        <is>
          <t>Inspection</t>
        </is>
      </c>
      <c r="C12" s="2" t="inlineStr">
        <is>
          <t>Fixed</t>
        </is>
      </c>
      <c r="D12" s="5" t="n">
        <v>0</v>
      </c>
      <c r="E12" s="5" t="n">
        <v>0</v>
      </c>
      <c r="F12" s="5" t="n">
        <v>2500</v>
      </c>
      <c r="G12" s="6" t="n">
        <v>0</v>
      </c>
      <c r="H12" s="6" t="n">
        <v>0</v>
      </c>
      <c r="I12" s="3" t="inlineStr">
        <is>
          <t>Yes</t>
        </is>
      </c>
      <c r="J12" s="2" t="inlineStr">
        <is>
          <t>装船前第三方取样</t>
        </is>
      </c>
    </row>
    <row r="13" ht="22" customHeight="1">
      <c r="A13" s="2" t="inlineStr">
        <is>
          <t>Container Sea Freight</t>
        </is>
      </c>
      <c r="B13" s="2" t="inlineStr">
        <is>
          <t>Ocean Freight</t>
        </is>
      </c>
      <c r="C13" s="2" t="inlineStr">
        <is>
          <t>Per WMT</t>
        </is>
      </c>
      <c r="D13" s="5" t="n">
        <v>65</v>
      </c>
      <c r="E13" s="5" t="n">
        <v>0</v>
      </c>
      <c r="F13" s="5" t="n">
        <v>0</v>
      </c>
      <c r="G13" s="6" t="n">
        <v>0</v>
      </c>
      <c r="H13" s="6" t="n">
        <v>0</v>
      </c>
      <c r="I13" s="3" t="inlineStr">
        <is>
          <t>Yes</t>
        </is>
      </c>
      <c r="J13" s="2" t="inlineStr">
        <is>
          <t>CIF目的港时启用</t>
        </is>
      </c>
    </row>
    <row r="14" ht="22" customHeight="1">
      <c r="A14" s="2" t="inlineStr">
        <is>
          <t>Marine Insurance</t>
        </is>
      </c>
      <c r="B14" s="2" t="inlineStr">
        <is>
          <t>Insurance</t>
        </is>
      </c>
      <c r="C14" s="2" t="inlineStr">
        <is>
          <t>% Value</t>
        </is>
      </c>
      <c r="D14" s="5" t="n">
        <v>0</v>
      </c>
      <c r="E14" s="5" t="n">
        <v>0</v>
      </c>
      <c r="F14" s="5" t="n">
        <v>0</v>
      </c>
      <c r="G14" s="6" t="n">
        <v>0.006</v>
      </c>
      <c r="H14" s="6" t="n">
        <v>0</v>
      </c>
      <c r="I14" s="3" t="inlineStr">
        <is>
          <t>Yes</t>
        </is>
      </c>
      <c r="J14" s="2" t="inlineStr">
        <is>
          <t>按下游货值</t>
        </is>
      </c>
    </row>
    <row r="15" ht="22" customHeight="1">
      <c r="A15" s="2" t="inlineStr">
        <is>
          <t>Banking / LC / Remittance</t>
        </is>
      </c>
      <c r="B15" s="2" t="inlineStr">
        <is>
          <t>Finance</t>
        </is>
      </c>
      <c r="C15" s="2" t="inlineStr">
        <is>
          <t>% Value</t>
        </is>
      </c>
      <c r="D15" s="5" t="n">
        <v>0</v>
      </c>
      <c r="E15" s="5" t="n">
        <v>0</v>
      </c>
      <c r="F15" s="5" t="n">
        <v>0</v>
      </c>
      <c r="G15" s="6" t="n">
        <v>0.003</v>
      </c>
      <c r="H15" s="6" t="n">
        <v>0</v>
      </c>
      <c r="I15" s="3" t="inlineStr">
        <is>
          <t>Yes</t>
        </is>
      </c>
      <c r="J15" s="2" t="inlineStr">
        <is>
          <t>信用证和银行费用</t>
        </is>
      </c>
    </row>
    <row r="16" ht="22" customHeight="1">
      <c r="A16" s="2" t="inlineStr">
        <is>
          <t>OECD/RMI/KYC Compliance File</t>
        </is>
      </c>
      <c r="B16" s="2" t="inlineStr">
        <is>
          <t>Compliance</t>
        </is>
      </c>
      <c r="C16" s="2" t="inlineStr">
        <is>
          <t>Fixed</t>
        </is>
      </c>
      <c r="D16" s="5" t="n">
        <v>0</v>
      </c>
      <c r="E16" s="5" t="n">
        <v>0</v>
      </c>
      <c r="F16" s="5" t="n">
        <v>1500</v>
      </c>
      <c r="G16" s="6" t="n">
        <v>0</v>
      </c>
      <c r="H16" s="6" t="n">
        <v>0</v>
      </c>
      <c r="I16" s="3" t="inlineStr">
        <is>
          <t>Yes</t>
        </is>
      </c>
      <c r="J16" s="2" t="inlineStr">
        <is>
          <t>钨矿尤其重要</t>
        </is>
      </c>
    </row>
    <row r="17" ht="22" customHeight="1">
      <c r="A17" s="2" t="inlineStr">
        <is>
          <t>Contingency</t>
        </is>
      </c>
      <c r="B17" s="2" t="inlineStr">
        <is>
          <t>Buffer</t>
        </is>
      </c>
      <c r="C17" s="2" t="inlineStr">
        <is>
          <t>% Cost</t>
        </is>
      </c>
      <c r="D17" s="5" t="n">
        <v>0</v>
      </c>
      <c r="E17" s="5" t="n">
        <v>0</v>
      </c>
      <c r="F17" s="5" t="n">
        <v>0</v>
      </c>
      <c r="G17" s="6" t="n">
        <v>0</v>
      </c>
      <c r="H17" s="6" t="n">
        <v>0.05</v>
      </c>
      <c r="I17" s="3" t="inlineStr">
        <is>
          <t>Yes</t>
        </is>
      </c>
      <c r="J17" s="2" t="inlineStr">
        <is>
          <t>成本缓冲</t>
        </is>
      </c>
    </row>
    <row r="18" ht="22" customHeight="1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</row>
    <row r="19" ht="22" customHeight="1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 ht="22" customHeight="1">
      <c r="A20" s="2" t="inlineStr">
        <is>
          <t>Total USD/WMT</t>
        </is>
      </c>
      <c r="B20" s="7">
        <f>SUMIF(I5:I17,"Yes",D5:D17)</f>
        <v/>
      </c>
      <c r="C20" s="2" t="n"/>
      <c r="D20" s="2" t="n"/>
      <c r="E20" s="2" t="n"/>
      <c r="F20" s="2" t="n"/>
      <c r="G20" s="2" t="n"/>
      <c r="H20" s="2" t="n"/>
      <c r="I20" s="2" t="n"/>
      <c r="J20" s="2" t="n"/>
    </row>
    <row r="21" ht="22" customHeight="1">
      <c r="A21" s="2" t="inlineStr">
        <is>
          <t>Total USD/DMT</t>
        </is>
      </c>
      <c r="B21" s="7">
        <f>SUMIF(I5:I17,"Yes",E5:E17)</f>
        <v/>
      </c>
      <c r="C21" s="2" t="n"/>
      <c r="D21" s="2" t="n"/>
      <c r="E21" s="2" t="n"/>
      <c r="F21" s="2" t="n"/>
      <c r="G21" s="2" t="n"/>
      <c r="H21" s="2" t="n"/>
      <c r="I21" s="2" t="n"/>
      <c r="J21" s="2" t="n"/>
    </row>
    <row r="22" ht="22" customHeight="1">
      <c r="A22" s="2" t="inlineStr">
        <is>
          <t>Total Fixed USD/lot</t>
        </is>
      </c>
      <c r="B22" s="7">
        <f>SUMIF(I5:I17,"Yes",F5:F17)</f>
        <v/>
      </c>
      <c r="C22" s="2" t="n"/>
      <c r="D22" s="2" t="n"/>
      <c r="E22" s="2" t="n"/>
      <c r="F22" s="2" t="n"/>
      <c r="G22" s="2" t="n"/>
      <c r="H22" s="2" t="n"/>
      <c r="I22" s="2" t="n"/>
      <c r="J22" s="2" t="n"/>
    </row>
    <row r="23" ht="22" customHeight="1">
      <c r="A23" s="2" t="inlineStr">
        <is>
          <t>Total % Value</t>
        </is>
      </c>
      <c r="B23" s="8">
        <f>SUMIF(I5:I17,"Yes",G5:G17)</f>
        <v/>
      </c>
      <c r="C23" s="2" t="n"/>
      <c r="D23" s="2" t="n"/>
      <c r="E23" s="2" t="n"/>
      <c r="F23" s="2" t="n"/>
      <c r="G23" s="2" t="n"/>
      <c r="H23" s="2" t="n"/>
      <c r="I23" s="2" t="n"/>
      <c r="J23" s="2" t="n"/>
    </row>
    <row r="24" ht="22" customHeight="1">
      <c r="A24" s="2" t="inlineStr">
        <is>
          <t>Total % Cost</t>
        </is>
      </c>
      <c r="B24" s="8">
        <f>SUMIF(I5:I17,"Yes",H5:H17)</f>
        <v/>
      </c>
      <c r="C24" s="2" t="n"/>
      <c r="D24" s="2" t="n"/>
      <c r="E24" s="2" t="n"/>
      <c r="F24" s="2" t="n"/>
      <c r="G24" s="2" t="n"/>
      <c r="H24" s="2" t="n"/>
      <c r="I24" s="2" t="n"/>
      <c r="J24" s="2" t="n"/>
    </row>
  </sheetData>
  <mergeCells count="2">
    <mergeCell ref="A1:J1"/>
    <mergeCell ref="A2:J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28" customWidth="1" min="2" max="2"/>
    <col width="18" customWidth="1" min="3" max="3"/>
    <col width="14" customWidth="1" min="4" max="4"/>
    <col width="18" customWidth="1" min="5" max="5"/>
    <col width="14" customWidth="1" min="6" max="6"/>
    <col width="14" customWidth="1" min="7" max="7"/>
    <col width="34" customWidth="1" min="8" max="8"/>
    <col width="38" customWidth="1" min="9" max="9"/>
  </cols>
  <sheetData>
    <row r="1" ht="22" customHeight="1">
      <c r="A1" s="1" t="inlineStr">
        <is>
          <t>Index Library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2" customHeight="1">
      <c r="A2" s="2" t="inlineStr">
        <is>
          <t>各矿种价格基准、计价单位和公式类型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22" customHeight="1">
      <c r="A4" s="1" t="inlineStr">
        <is>
          <t>Commodity</t>
        </is>
      </c>
      <c r="B4" s="1" t="inlineStr">
        <is>
          <t>Benchmark</t>
        </is>
      </c>
      <c r="C4" s="1" t="inlineStr">
        <is>
          <t>International Unit</t>
        </is>
      </c>
      <c r="D4" s="1" t="inlineStr">
        <is>
          <t>Intl Price</t>
        </is>
      </c>
      <c r="E4" s="1" t="inlineStr">
        <is>
          <t>Domestic Unit</t>
        </is>
      </c>
      <c r="F4" s="1" t="inlineStr">
        <is>
          <t>Domestic Price</t>
        </is>
      </c>
      <c r="G4" s="1" t="inlineStr">
        <is>
          <t>Formula Type</t>
        </is>
      </c>
      <c r="H4" s="1" t="inlineStr">
        <is>
          <t>Source</t>
        </is>
      </c>
      <c r="I4" s="1" t="inlineStr">
        <is>
          <t>Note</t>
        </is>
      </c>
    </row>
    <row r="5" ht="22" customHeight="1">
      <c r="A5" s="2" t="inlineStr">
        <is>
          <t>Sb</t>
        </is>
      </c>
      <c r="B5" s="2" t="inlineStr">
        <is>
          <t>Antimony metal benchmark</t>
        </is>
      </c>
      <c r="C5" s="2" t="inlineStr">
        <is>
          <t>USD/metal ton</t>
        </is>
      </c>
      <c r="D5" s="9" t="n">
        <v>55000</v>
      </c>
      <c r="E5" s="2" t="inlineStr">
        <is>
          <t>RMB/metal ton</t>
        </is>
      </c>
      <c r="F5" s="9" t="n">
        <v>395000</v>
      </c>
      <c r="G5" s="2" t="inlineStr">
        <is>
          <t>METAL</t>
        </is>
      </c>
      <c r="H5" s="2" t="inlineStr">
        <is>
          <t>Fastmarkets / Asian Metal / SMM</t>
        </is>
      </c>
      <c r="I5" s="2" t="inlineStr">
        <is>
          <t>Grade × Metal Price × Payability</t>
        </is>
      </c>
    </row>
    <row r="6" ht="22" customHeight="1">
      <c r="A6" s="2" t="inlineStr">
        <is>
          <t>WO3</t>
        </is>
      </c>
      <c r="B6" s="2" t="inlineStr">
        <is>
          <t>APT benchmark</t>
        </is>
      </c>
      <c r="C6" s="2" t="inlineStr">
        <is>
          <t>USD/MTU</t>
        </is>
      </c>
      <c r="D6" s="9" t="n">
        <v>3000</v>
      </c>
      <c r="E6" s="2" t="inlineStr">
        <is>
          <t>RMB/MTU</t>
        </is>
      </c>
      <c r="F6" s="9" t="n">
        <v>8361</v>
      </c>
      <c r="G6" s="2" t="inlineStr">
        <is>
          <t>MTU</t>
        </is>
      </c>
      <c r="H6" s="2" t="inlineStr">
        <is>
          <t>Fastmarkets / Asian Metal / 中钨在线</t>
        </is>
      </c>
      <c r="I6" s="2" t="inlineStr">
        <is>
          <t>Grade × 100 × APT × Payability</t>
        </is>
      </c>
    </row>
    <row r="7" ht="22" customHeight="1">
      <c r="A7" s="2" t="inlineStr">
        <is>
          <t>Li2O</t>
        </is>
      </c>
      <c r="B7" s="2" t="inlineStr">
        <is>
          <t>6% spodumene benchmark</t>
        </is>
      </c>
      <c r="C7" s="2" t="inlineStr">
        <is>
          <t>USD/DMT</t>
        </is>
      </c>
      <c r="D7" s="9" t="n">
        <v>1500</v>
      </c>
      <c r="E7" s="2" t="inlineStr">
        <is>
          <t>RMB/DMT</t>
        </is>
      </c>
      <c r="F7" s="9" t="n">
        <v>10800</v>
      </c>
      <c r="G7" s="2" t="inlineStr">
        <is>
          <t>GRADE6</t>
        </is>
      </c>
      <c r="H7" s="2" t="inlineStr">
        <is>
          <t>Fastmarkets / SMM</t>
        </is>
      </c>
      <c r="I7" s="2" t="inlineStr">
        <is>
          <t>Benchmark × Grade/6% × Payability</t>
        </is>
      </c>
    </row>
    <row r="8" ht="22" customHeight="1">
      <c r="A8" s="2" t="inlineStr">
        <is>
          <t>Cu</t>
        </is>
      </c>
      <c r="B8" s="2" t="inlineStr">
        <is>
          <t>LME copper</t>
        </is>
      </c>
      <c r="C8" s="2" t="inlineStr">
        <is>
          <t>USD/metal ton</t>
        </is>
      </c>
      <c r="D8" s="9" t="n">
        <v>8500</v>
      </c>
      <c r="E8" s="2" t="inlineStr">
        <is>
          <t>RMB/metal ton</t>
        </is>
      </c>
      <c r="F8" s="9" t="n">
        <v>61200</v>
      </c>
      <c r="G8" s="2" t="inlineStr">
        <is>
          <t>METAL</t>
        </is>
      </c>
      <c r="H8" s="2" t="inlineStr">
        <is>
          <t>LME / SMM</t>
        </is>
      </c>
      <c r="I8" s="2" t="inlineStr">
        <is>
          <t>Grade × Metal Price × Payability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2" customWidth="1" min="3" max="3"/>
    <col width="12" customWidth="1" min="4" max="4"/>
    <col width="12" customWidth="1" min="5" max="5"/>
    <col width="16" customWidth="1" min="6" max="6"/>
    <col width="18" customWidth="1" min="7" max="7"/>
    <col width="16" customWidth="1" min="8" max="8"/>
    <col width="16" customWidth="1" min="9" max="9"/>
    <col width="12" customWidth="1" min="10" max="10"/>
    <col width="14" customWidth="1" min="11" max="11"/>
    <col width="12" customWidth="1" min="12" max="12"/>
  </cols>
  <sheetData>
    <row r="1" ht="22" customHeight="1">
      <c r="A1" s="1" t="inlineStr">
        <is>
          <t>Commodity Config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</row>
    <row r="2" ht="22" customHeight="1">
      <c r="A2" s="2" t="inlineStr">
        <is>
          <t>各矿种默认输入、品位、水分、计价系数、处理费和采购成本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  <c r="K3" s="2" t="n"/>
      <c r="L3" s="2" t="n"/>
    </row>
    <row r="4" ht="22" customHeight="1">
      <c r="A4" s="1" t="inlineStr">
        <is>
          <t>Commodity</t>
        </is>
      </c>
      <c r="B4" s="1" t="inlineStr">
        <is>
          <t>Model Sheet</t>
        </is>
      </c>
      <c r="C4" s="1" t="inlineStr">
        <is>
          <t>WMT</t>
        </is>
      </c>
      <c r="D4" s="1" t="inlineStr">
        <is>
          <t>Moisture</t>
        </is>
      </c>
      <c r="E4" s="1" t="inlineStr">
        <is>
          <t>Grade</t>
        </is>
      </c>
      <c r="F4" s="1" t="inlineStr">
        <is>
          <t>Intl Payability</t>
        </is>
      </c>
      <c r="G4" s="1" t="inlineStr">
        <is>
          <t>Domestic Payability</t>
        </is>
      </c>
      <c r="H4" s="1" t="inlineStr">
        <is>
          <t>Purchase Cost</t>
        </is>
      </c>
      <c r="I4" s="1" t="inlineStr">
        <is>
          <t>Purchase Basis</t>
        </is>
      </c>
      <c r="J4" s="1" t="inlineStr">
        <is>
          <t>TC Intl</t>
        </is>
      </c>
      <c r="K4" s="1" t="inlineStr">
        <is>
          <t>TC Domestic</t>
        </is>
      </c>
      <c r="L4" s="1" t="inlineStr">
        <is>
          <t>Penalty</t>
        </is>
      </c>
    </row>
    <row r="5" ht="22" customHeight="1">
      <c r="A5" s="2" t="inlineStr">
        <is>
          <t>Sb</t>
        </is>
      </c>
      <c r="B5" s="2" t="inlineStr">
        <is>
          <t>Sb_Model</t>
        </is>
      </c>
      <c r="C5" s="5" t="n">
        <v>526.3</v>
      </c>
      <c r="D5" s="6" t="n">
        <v>0.05</v>
      </c>
      <c r="E5" s="6" t="n">
        <v>0.5</v>
      </c>
      <c r="F5" s="6" t="n">
        <v>0.8</v>
      </c>
      <c r="G5" s="6" t="n">
        <v>0.72</v>
      </c>
      <c r="H5" s="5" t="n">
        <v>30000</v>
      </c>
      <c r="I5" s="5" t="inlineStr">
        <is>
          <t>USD/DMT</t>
        </is>
      </c>
      <c r="J5" s="5" t="n">
        <v>1200</v>
      </c>
      <c r="K5" s="5" t="n">
        <v>8500</v>
      </c>
      <c r="L5" s="5" t="n">
        <v>0</v>
      </c>
    </row>
    <row r="6" ht="22" customHeight="1">
      <c r="A6" s="2" t="inlineStr">
        <is>
          <t>WO3</t>
        </is>
      </c>
      <c r="B6" s="2" t="inlineStr">
        <is>
          <t>WO3_Model</t>
        </is>
      </c>
      <c r="C6" s="5" t="n">
        <v>30.61</v>
      </c>
      <c r="D6" s="6" t="n">
        <v>0.02</v>
      </c>
      <c r="E6" s="6" t="n">
        <v>0.43</v>
      </c>
      <c r="F6" s="6" t="n">
        <v>0.45</v>
      </c>
      <c r="G6" s="6" t="n">
        <v>0.35</v>
      </c>
      <c r="H6" s="5" t="n">
        <v>750</v>
      </c>
      <c r="I6" s="5" t="inlineStr">
        <is>
          <t>USD/MTU</t>
        </is>
      </c>
      <c r="J6" s="5" t="n">
        <v>0</v>
      </c>
      <c r="K6" s="5" t="n">
        <v>0</v>
      </c>
      <c r="L6" s="5" t="n">
        <v>0</v>
      </c>
    </row>
    <row r="7" ht="22" customHeight="1">
      <c r="A7" s="2" t="inlineStr">
        <is>
          <t>Li2O</t>
        </is>
      </c>
      <c r="B7" s="2" t="inlineStr">
        <is>
          <t>Li2O_Model</t>
        </is>
      </c>
      <c r="C7" s="5" t="n">
        <v>1030.9</v>
      </c>
      <c r="D7" s="6" t="n">
        <v>0.03</v>
      </c>
      <c r="E7" s="6" t="n">
        <v>0.06</v>
      </c>
      <c r="F7" s="6" t="n">
        <v>0.75</v>
      </c>
      <c r="G7" s="6" t="n">
        <v>0.7</v>
      </c>
      <c r="H7" s="5" t="n">
        <v>750</v>
      </c>
      <c r="I7" s="5" t="inlineStr">
        <is>
          <t>USD/DMT</t>
        </is>
      </c>
      <c r="J7" s="5" t="n">
        <v>0</v>
      </c>
      <c r="K7" s="5" t="n">
        <v>0</v>
      </c>
      <c r="L7" s="5" t="n">
        <v>0</v>
      </c>
    </row>
    <row r="8" ht="22" customHeight="1">
      <c r="A8" s="2" t="inlineStr">
        <is>
          <t>Cu</t>
        </is>
      </c>
      <c r="B8" s="2" t="inlineStr">
        <is>
          <t>Cu_Model</t>
        </is>
      </c>
      <c r="C8" s="5" t="n">
        <v>1041.7</v>
      </c>
      <c r="D8" s="6" t="n">
        <v>0.04</v>
      </c>
      <c r="E8" s="6" t="n">
        <v>0.25</v>
      </c>
      <c r="F8" s="6" t="n">
        <v>0.82</v>
      </c>
      <c r="G8" s="6" t="n">
        <v>0.78</v>
      </c>
      <c r="H8" s="5" t="n">
        <v>1200</v>
      </c>
      <c r="I8" s="5" t="inlineStr">
        <is>
          <t>USD/DMT</t>
        </is>
      </c>
      <c r="J8" s="5" t="n">
        <v>0</v>
      </c>
      <c r="K8" s="5" t="n">
        <v>0</v>
      </c>
      <c r="L8" s="5" t="n">
        <v>0</v>
      </c>
    </row>
  </sheetData>
  <mergeCells count="2">
    <mergeCell ref="A2:L2"/>
    <mergeCell ref="A1:L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4" customWidth="1" min="4" max="4"/>
    <col width="12" customWidth="1" min="5" max="5"/>
    <col width="13" customWidth="1" min="6" max="6"/>
    <col width="15" customWidth="1" min="7" max="7"/>
    <col width="18" customWidth="1" min="8" max="8"/>
    <col width="44" customWidth="1" min="9" max="9"/>
    <col width="18" customWidth="1" min="10" max="10"/>
  </cols>
  <sheetData>
    <row r="1" ht="22" customHeight="1">
      <c r="A1" s="1" t="inlineStr">
        <is>
          <t>Incoterms Config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2" customHeight="1">
      <c r="A2" s="2" t="inlineStr">
        <is>
          <t>Controls which logistics scope is included by purchase and sales terms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 ht="22" customHeight="1">
      <c r="A4" s="1" t="inlineStr">
        <is>
          <t>Commodity</t>
        </is>
      </c>
      <c r="B4" s="1" t="inlineStr">
        <is>
          <t>Purchase Incoterms</t>
        </is>
      </c>
      <c r="C4" s="1" t="inlineStr">
        <is>
          <t>Sales Incoterms</t>
        </is>
      </c>
      <c r="D4" s="1" t="inlineStr">
        <is>
          <t>Include Inland</t>
        </is>
      </c>
      <c r="E4" s="1" t="inlineStr">
        <is>
          <t>Include Port</t>
        </is>
      </c>
      <c r="F4" s="1" t="inlineStr">
        <is>
          <t>Include Ocean</t>
        </is>
      </c>
      <c r="G4" s="1" t="inlineStr">
        <is>
          <t>Include Insurance</t>
        </is>
      </c>
      <c r="H4" s="1" t="inlineStr">
        <is>
          <t>Logistics Scope Factor</t>
        </is>
      </c>
      <c r="I4" s="1" t="inlineStr">
        <is>
          <t>Risk Note</t>
        </is>
      </c>
      <c r="J4" s="1" t="inlineStr">
        <is>
          <t>Owner</t>
        </is>
      </c>
    </row>
    <row r="5" ht="22" customHeight="1">
      <c r="A5" s="2" t="inlineStr">
        <is>
          <t>Sb</t>
        </is>
      </c>
      <c r="B5" s="5" t="inlineStr">
        <is>
          <t>EXW</t>
        </is>
      </c>
      <c r="C5" s="5" t="inlineStr">
        <is>
          <t>CIF</t>
        </is>
      </c>
      <c r="D5" s="4">
        <f>IF(B5="EXW","Yes","No")</f>
        <v/>
      </c>
      <c r="E5" s="4">
        <f>IF(B5="EXW","Yes","No")</f>
        <v/>
      </c>
      <c r="F5" s="4">
        <f>IF(OR(C5="CFR",C5="CIF"),"Yes","No")</f>
        <v/>
      </c>
      <c r="G5" s="4">
        <f>IF(AND(OR(C5="CFR",C5="CIF"),B5="EXW"),"Yes","No")</f>
        <v/>
      </c>
      <c r="H5" s="8">
        <f>IF(B5="EXW",1,0.35)</f>
        <v/>
      </c>
      <c r="I5" s="2" t="inlineStr">
        <is>
          <t>Check risk note</t>
        </is>
      </c>
      <c r="J5" s="2" t="inlineStr">
        <is>
          <t>Operations</t>
        </is>
      </c>
    </row>
    <row r="6" ht="22" customHeight="1">
      <c r="A6" s="2" t="inlineStr">
        <is>
          <t>WO3</t>
        </is>
      </c>
      <c r="B6" s="5" t="inlineStr">
        <is>
          <t>EXW</t>
        </is>
      </c>
      <c r="C6" s="5" t="inlineStr">
        <is>
          <t>CIF</t>
        </is>
      </c>
      <c r="D6" s="4">
        <f>IF(B6="EXW","Yes","No")</f>
        <v/>
      </c>
      <c r="E6" s="4">
        <f>IF(B6="EXW","Yes","No")</f>
        <v/>
      </c>
      <c r="F6" s="4">
        <f>IF(OR(C6="CFR",C6="CIF"),"Yes","No")</f>
        <v/>
      </c>
      <c r="G6" s="4">
        <f>IF(AND(OR(C6="CFR",C6="CIF"),B6="EXW"),"Yes","No")</f>
        <v/>
      </c>
      <c r="H6" s="8">
        <f>IF(B6="EXW",1,0.35)</f>
        <v/>
      </c>
      <c r="I6" s="2" t="inlineStr">
        <is>
          <t>Check risk note</t>
        </is>
      </c>
      <c r="J6" s="2" t="inlineStr">
        <is>
          <t>Operations</t>
        </is>
      </c>
    </row>
    <row r="7" ht="22" customHeight="1">
      <c r="A7" s="2" t="inlineStr">
        <is>
          <t>Li2O</t>
        </is>
      </c>
      <c r="B7" s="5" t="inlineStr">
        <is>
          <t>EXW</t>
        </is>
      </c>
      <c r="C7" s="5" t="inlineStr">
        <is>
          <t>CIF</t>
        </is>
      </c>
      <c r="D7" s="4">
        <f>IF(B7="EXW","Yes","No")</f>
        <v/>
      </c>
      <c r="E7" s="4">
        <f>IF(B7="EXW","Yes","No")</f>
        <v/>
      </c>
      <c r="F7" s="4">
        <f>IF(OR(C7="CFR",C7="CIF"),"Yes","No")</f>
        <v/>
      </c>
      <c r="G7" s="4">
        <f>IF(AND(OR(C7="CFR",C7="CIF"),B7="EXW"),"Yes","No")</f>
        <v/>
      </c>
      <c r="H7" s="8">
        <f>IF(B7="EXW",1,0.35)</f>
        <v/>
      </c>
      <c r="I7" s="2" t="inlineStr">
        <is>
          <t>Check risk note</t>
        </is>
      </c>
      <c r="J7" s="2" t="inlineStr">
        <is>
          <t>Operations</t>
        </is>
      </c>
    </row>
    <row r="8" ht="22" customHeight="1">
      <c r="A8" s="2" t="inlineStr">
        <is>
          <t>Cu</t>
        </is>
      </c>
      <c r="B8" s="5" t="inlineStr">
        <is>
          <t>EXW</t>
        </is>
      </c>
      <c r="C8" s="5" t="inlineStr">
        <is>
          <t>CIF</t>
        </is>
      </c>
      <c r="D8" s="4">
        <f>IF(B8="EXW","Yes","No")</f>
        <v/>
      </c>
      <c r="E8" s="4">
        <f>IF(B8="EXW","Yes","No")</f>
        <v/>
      </c>
      <c r="F8" s="4">
        <f>IF(OR(C8="CFR",C8="CIF"),"Yes","No")</f>
        <v/>
      </c>
      <c r="G8" s="4">
        <f>IF(AND(OR(C8="CFR",C8="CIF"),B8="EXW"),"Yes","No")</f>
        <v/>
      </c>
      <c r="H8" s="8">
        <f>IF(B8="EXW",1,0.35)</f>
        <v/>
      </c>
      <c r="I8" s="2" t="inlineStr">
        <is>
          <t>Check risk note</t>
        </is>
      </c>
      <c r="J8" s="2" t="inlineStr">
        <is>
          <t>Operations</t>
        </is>
      </c>
    </row>
  </sheetData>
  <mergeCells count="2">
    <mergeCell ref="A1:J1"/>
    <mergeCell ref="A2:J2"/>
  </mergeCells>
  <dataValidations count="8">
    <dataValidation sqref="B5" showDropDown="0" showInputMessage="0" showErrorMessage="0" allowBlank="0" type="list">
      <formula1>"EXW,FOB"</formula1>
    </dataValidation>
    <dataValidation sqref="C5" showDropDown="0" showInputMessage="0" showErrorMessage="0" allowBlank="0" type="list">
      <formula1>"FOB,CFR,CIF"</formula1>
    </dataValidation>
    <dataValidation sqref="B6" showDropDown="0" showInputMessage="0" showErrorMessage="0" allowBlank="0" type="list">
      <formula1>"EXW,FOB"</formula1>
    </dataValidation>
    <dataValidation sqref="C6" showDropDown="0" showInputMessage="0" showErrorMessage="0" allowBlank="0" type="list">
      <formula1>"FOB,CFR,CIF"</formula1>
    </dataValidation>
    <dataValidation sqref="B7" showDropDown="0" showInputMessage="0" showErrorMessage="0" allowBlank="0" type="list">
      <formula1>"EXW,FOB"</formula1>
    </dataValidation>
    <dataValidation sqref="C7" showDropDown="0" showInputMessage="0" showErrorMessage="0" allowBlank="0" type="list">
      <formula1>"FOB,CFR,CIF"</formula1>
    </dataValidation>
    <dataValidation sqref="B8" showDropDown="0" showInputMessage="0" showErrorMessage="0" allowBlank="0" type="list">
      <formula1>"EXW,FOB"</formula1>
    </dataValidation>
    <dataValidation sqref="C8" showDropDown="0" showInputMessage="0" showErrorMessage="0" allowBlank="0" type="list">
      <formula1>"FOB,CFR,CIF"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20" customWidth="1" min="4" max="4"/>
    <col width="14" customWidth="1" min="5" max="5"/>
    <col width="14" customWidth="1" min="6" max="6"/>
    <col width="22" customWidth="1" min="7" max="7"/>
    <col width="12" customWidth="1" min="8" max="8"/>
    <col width="54" customWidth="1" min="9" max="9"/>
  </cols>
  <sheetData>
    <row r="1" ht="22" customHeight="1">
      <c r="A1" s="1" t="inlineStr">
        <is>
          <t>TC RC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2" customHeight="1">
      <c r="A2" s="2" t="inlineStr">
        <is>
          <t>Treatment charge, refining charge, and additional smelter deductions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22" customHeight="1">
      <c r="A4" s="1" t="inlineStr">
        <is>
          <t>Commodity</t>
        </is>
      </c>
      <c r="B4" s="1" t="inlineStr">
        <is>
          <t>TC USD/DMT</t>
        </is>
      </c>
      <c r="C4" s="1" t="inlineStr">
        <is>
          <t>RC USD/DMT</t>
        </is>
      </c>
      <c r="D4" s="1" t="inlineStr">
        <is>
          <t>Additional Cost USD/DMT</t>
        </is>
      </c>
      <c r="E4" s="1" t="inlineStr">
        <is>
          <t>TC RMB/DMT</t>
        </is>
      </c>
      <c r="F4" s="1" t="inlineStr">
        <is>
          <t>RC RMB/DMT</t>
        </is>
      </c>
      <c r="G4" s="1" t="inlineStr">
        <is>
          <t>Additional Cost RMB/DMT</t>
        </is>
      </c>
      <c r="H4" s="1" t="inlineStr">
        <is>
          <t>Basis</t>
        </is>
      </c>
      <c r="I4" s="1" t="inlineStr">
        <is>
          <t>Note</t>
        </is>
      </c>
    </row>
    <row r="5" ht="22" customHeight="1">
      <c r="A5" s="2" t="inlineStr">
        <is>
          <t>Sb</t>
        </is>
      </c>
      <c r="B5" s="5" t="n">
        <v>0</v>
      </c>
      <c r="C5" s="5" t="n">
        <v>0</v>
      </c>
      <c r="D5" s="7">
        <f>B5+C5</f>
        <v/>
      </c>
      <c r="E5" s="5" t="n">
        <v>0</v>
      </c>
      <c r="F5" s="5" t="n">
        <v>0</v>
      </c>
      <c r="G5" s="7">
        <f>E5+F5</f>
        <v/>
      </c>
      <c r="H5" s="2" t="inlineStr">
        <is>
          <t>DMT</t>
        </is>
      </c>
      <c r="I5" s="2" t="inlineStr">
        <is>
          <t>TC already handled in Commodity_Config unless extra smelter deduction applies</t>
        </is>
      </c>
    </row>
    <row r="6" ht="22" customHeight="1">
      <c r="A6" s="2" t="inlineStr">
        <is>
          <t>WO3</t>
        </is>
      </c>
      <c r="B6" s="5" t="n">
        <v>0</v>
      </c>
      <c r="C6" s="5" t="n">
        <v>0</v>
      </c>
      <c r="D6" s="7">
        <f>B6+C6</f>
        <v/>
      </c>
      <c r="E6" s="5" t="n">
        <v>0</v>
      </c>
      <c r="F6" s="5" t="n">
        <v>0</v>
      </c>
      <c r="G6" s="7">
        <f>E6+F6</f>
        <v/>
      </c>
      <c r="H6" s="2" t="inlineStr">
        <is>
          <t>DMT</t>
        </is>
      </c>
      <c r="I6" s="2" t="inlineStr">
        <is>
          <t>Usually handled through payability/penalty for rough concentrate</t>
        </is>
      </c>
    </row>
    <row r="7" ht="22" customHeight="1">
      <c r="A7" s="2" t="inlineStr">
        <is>
          <t>Li2O</t>
        </is>
      </c>
      <c r="B7" s="5" t="n">
        <v>0</v>
      </c>
      <c r="C7" s="5" t="n">
        <v>0</v>
      </c>
      <c r="D7" s="7">
        <f>B7+C7</f>
        <v/>
      </c>
      <c r="E7" s="5" t="n">
        <v>0</v>
      </c>
      <c r="F7" s="5" t="n">
        <v>0</v>
      </c>
      <c r="G7" s="7">
        <f>E7+F7</f>
        <v/>
      </c>
      <c r="H7" s="2" t="inlineStr">
        <is>
          <t>DMT</t>
        </is>
      </c>
      <c r="I7" s="2" t="inlineStr">
        <is>
          <t>Add extra processing cost if buyer requires mica discount</t>
        </is>
      </c>
    </row>
    <row r="8" ht="22" customHeight="1">
      <c r="A8" s="2" t="inlineStr">
        <is>
          <t>Cu</t>
        </is>
      </c>
      <c r="B8" s="5" t="n">
        <v>80</v>
      </c>
      <c r="C8" s="5" t="n">
        <v>8</v>
      </c>
      <c r="D8" s="7">
        <f>B8+C8</f>
        <v/>
      </c>
      <c r="E8" s="5" t="n">
        <v>576</v>
      </c>
      <c r="F8" s="5" t="n">
        <v>58</v>
      </c>
      <c r="G8" s="7">
        <f>E8+F8</f>
        <v/>
      </c>
      <c r="H8" s="2" t="inlineStr">
        <is>
          <t>DMT</t>
        </is>
      </c>
      <c r="I8" s="2" t="inlineStr">
        <is>
          <t>Simplified TC/RC placeholder for copper concentrate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8" customWidth="1" min="4" max="4"/>
    <col width="14" customWidth="1" min="5" max="5"/>
    <col width="16" customWidth="1" min="6" max="6"/>
    <col width="20" customWidth="1" min="7" max="7"/>
    <col width="20" customWidth="1" min="8" max="8"/>
    <col width="14" customWidth="1" min="9" max="9"/>
    <col width="34" customWidth="1" min="10" max="10"/>
  </cols>
  <sheetData>
    <row r="1" ht="22" customHeight="1">
      <c r="A1" s="1" t="inlineStr">
        <is>
          <t>Assay Adjustment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 ht="22" customHeight="1">
      <c r="A2" s="2" t="inlineStr">
        <is>
          <t>Settlement adjustment between loading assay and final assay</t>
        </is>
      </c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  <c r="J3" s="2" t="n"/>
    </row>
    <row r="4" ht="22" customHeight="1">
      <c r="A4" s="1" t="inlineStr">
        <is>
          <t>Commodity</t>
        </is>
      </c>
      <c r="B4" s="1" t="inlineStr">
        <is>
          <t>Loading Grade</t>
        </is>
      </c>
      <c r="C4" s="1" t="inlineStr">
        <is>
          <t>Final Grade</t>
        </is>
      </c>
      <c r="D4" s="1" t="inlineStr">
        <is>
          <t>Grade Adjustment</t>
        </is>
      </c>
      <c r="E4" s="1" t="inlineStr">
        <is>
          <t>Moisture Adj.</t>
        </is>
      </c>
      <c r="F4" s="1" t="inlineStr">
        <is>
          <t>Payability Adj.</t>
        </is>
      </c>
      <c r="G4" s="1" t="inlineStr">
        <is>
          <t>Penalty Adj. USD/DMT</t>
        </is>
      </c>
      <c r="H4" s="1" t="inlineStr">
        <is>
          <t>Penalty Adj. RMB/DMT</t>
        </is>
      </c>
      <c r="I4" s="1" t="inlineStr">
        <is>
          <t>Status</t>
        </is>
      </c>
      <c r="J4" s="1" t="inlineStr">
        <is>
          <t>Note</t>
        </is>
      </c>
    </row>
    <row r="5" ht="22" customHeight="1">
      <c r="A5" s="2" t="inlineStr">
        <is>
          <t>Sb</t>
        </is>
      </c>
      <c r="B5" s="8">
        <f>Commodity_Config!E5</f>
        <v/>
      </c>
      <c r="C5" s="8">
        <f>B5</f>
        <v/>
      </c>
      <c r="D5" s="8">
        <f>C5-B5</f>
        <v/>
      </c>
      <c r="E5" s="6" t="n">
        <v>0</v>
      </c>
      <c r="F5" s="6" t="n">
        <v>0</v>
      </c>
      <c r="G5" s="5" t="n">
        <v>0</v>
      </c>
      <c r="H5" s="5" t="n">
        <v>0</v>
      </c>
      <c r="I5" s="5" t="inlineStr">
        <is>
          <t>Pending</t>
        </is>
      </c>
      <c r="J5" s="2" t="inlineStr">
        <is>
          <t>Update after final assay</t>
        </is>
      </c>
    </row>
    <row r="6" ht="22" customHeight="1">
      <c r="A6" s="2" t="inlineStr">
        <is>
          <t>WO3</t>
        </is>
      </c>
      <c r="B6" s="8">
        <f>Commodity_Config!E6</f>
        <v/>
      </c>
      <c r="C6" s="8">
        <f>B6</f>
        <v/>
      </c>
      <c r="D6" s="8">
        <f>C6-B6</f>
        <v/>
      </c>
      <c r="E6" s="6" t="n">
        <v>0</v>
      </c>
      <c r="F6" s="6" t="n">
        <v>0</v>
      </c>
      <c r="G6" s="5" t="n">
        <v>0</v>
      </c>
      <c r="H6" s="5" t="n">
        <v>0</v>
      </c>
      <c r="I6" s="5" t="inlineStr">
        <is>
          <t>Pending</t>
        </is>
      </c>
      <c r="J6" s="2" t="inlineStr">
        <is>
          <t>Update after final assay</t>
        </is>
      </c>
    </row>
    <row r="7" ht="22" customHeight="1">
      <c r="A7" s="2" t="inlineStr">
        <is>
          <t>Li2O</t>
        </is>
      </c>
      <c r="B7" s="8">
        <f>Commodity_Config!E7</f>
        <v/>
      </c>
      <c r="C7" s="8">
        <f>B7</f>
        <v/>
      </c>
      <c r="D7" s="8">
        <f>C7-B7</f>
        <v/>
      </c>
      <c r="E7" s="6" t="n">
        <v>0</v>
      </c>
      <c r="F7" s="6" t="n">
        <v>0</v>
      </c>
      <c r="G7" s="5" t="n">
        <v>0</v>
      </c>
      <c r="H7" s="5" t="n">
        <v>0</v>
      </c>
      <c r="I7" s="5" t="inlineStr">
        <is>
          <t>Pending</t>
        </is>
      </c>
      <c r="J7" s="2" t="inlineStr">
        <is>
          <t>Update after final assay</t>
        </is>
      </c>
    </row>
    <row r="8" ht="22" customHeight="1">
      <c r="A8" s="2" t="inlineStr">
        <is>
          <t>Cu</t>
        </is>
      </c>
      <c r="B8" s="8">
        <f>Commodity_Config!E8</f>
        <v/>
      </c>
      <c r="C8" s="8">
        <f>B8</f>
        <v/>
      </c>
      <c r="D8" s="8">
        <f>C8-B8</f>
        <v/>
      </c>
      <c r="E8" s="6" t="n">
        <v>0</v>
      </c>
      <c r="F8" s="6" t="n">
        <v>0</v>
      </c>
      <c r="G8" s="5" t="n">
        <v>0</v>
      </c>
      <c r="H8" s="5" t="n">
        <v>0</v>
      </c>
      <c r="I8" s="5" t="inlineStr">
        <is>
          <t>Pending</t>
        </is>
      </c>
      <c r="J8" s="2" t="inlineStr">
        <is>
          <t>Update after final assay</t>
        </is>
      </c>
    </row>
  </sheetData>
  <mergeCells count="2">
    <mergeCell ref="A1:J1"/>
    <mergeCell ref="A2:J2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20" customWidth="1" min="8" max="8"/>
    <col width="20" customWidth="1" min="9" max="9"/>
  </cols>
  <sheetData>
    <row r="1" ht="22" customHeight="1">
      <c r="A1" s="1" t="inlineStr">
        <is>
          <t>Byproduct Credits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 ht="22" customHeight="1">
      <c r="A2" s="2" t="inlineStr">
        <is>
          <t>Credits for payable byproducts such as Au, Ag, Mo, Sn, Co</t>
        </is>
      </c>
      <c r="B2" s="2" t="n"/>
      <c r="C2" s="2" t="n"/>
      <c r="D2" s="2" t="n"/>
      <c r="E2" s="2" t="n"/>
      <c r="F2" s="2" t="n"/>
      <c r="G2" s="2" t="n"/>
      <c r="H2" s="2" t="n"/>
      <c r="I2" s="2" t="n"/>
    </row>
    <row r="3" ht="22" customHeight="1">
      <c r="A3" s="2" t="n"/>
      <c r="B3" s="2" t="n"/>
      <c r="C3" s="2" t="n"/>
      <c r="D3" s="2" t="n"/>
      <c r="E3" s="2" t="n"/>
      <c r="F3" s="2" t="n"/>
      <c r="G3" s="2" t="n"/>
      <c r="H3" s="2" t="n"/>
      <c r="I3" s="2" t="n"/>
    </row>
    <row r="4" ht="22" customHeight="1">
      <c r="A4" s="1" t="inlineStr">
        <is>
          <t>Commodity</t>
        </is>
      </c>
      <c r="B4" s="1" t="inlineStr">
        <is>
          <t>Byproduct 1</t>
        </is>
      </c>
      <c r="C4" s="1" t="inlineStr">
        <is>
          <t>Credit USD/DMT</t>
        </is>
      </c>
      <c r="D4" s="1" t="inlineStr">
        <is>
          <t>Credit RMB/DMT</t>
        </is>
      </c>
      <c r="E4" s="1" t="inlineStr">
        <is>
          <t>Byproduct 2</t>
        </is>
      </c>
      <c r="F4" s="1" t="inlineStr">
        <is>
          <t>Credit USD/DMT</t>
        </is>
      </c>
      <c r="G4" s="1" t="inlineStr">
        <is>
          <t>Credit RMB/DMT</t>
        </is>
      </c>
      <c r="H4" s="1" t="inlineStr">
        <is>
          <t>Total Credit USD/DMT</t>
        </is>
      </c>
      <c r="I4" s="1" t="inlineStr">
        <is>
          <t>Total Credit RMB/DMT</t>
        </is>
      </c>
    </row>
    <row r="5" ht="22" customHeight="1">
      <c r="A5" s="2" t="inlineStr">
        <is>
          <t>Sb</t>
        </is>
      </c>
      <c r="B5" s="5" t="inlineStr">
        <is>
          <t>Au/Ag</t>
        </is>
      </c>
      <c r="C5" s="5" t="n">
        <v>0</v>
      </c>
      <c r="D5" s="5" t="n">
        <v>0</v>
      </c>
      <c r="E5" s="5" t="inlineStr">
        <is>
          <t>Other</t>
        </is>
      </c>
      <c r="F5" s="5" t="n">
        <v>0</v>
      </c>
      <c r="G5" s="5" t="n">
        <v>0</v>
      </c>
      <c r="H5" s="7">
        <f>C5+F5</f>
        <v/>
      </c>
      <c r="I5" s="7">
        <f>D5+G5</f>
        <v/>
      </c>
    </row>
    <row r="6" ht="22" customHeight="1">
      <c r="A6" s="2" t="inlineStr">
        <is>
          <t>WO3</t>
        </is>
      </c>
      <c r="B6" s="5" t="inlineStr">
        <is>
          <t>Sn/Mo</t>
        </is>
      </c>
      <c r="C6" s="5" t="n">
        <v>0</v>
      </c>
      <c r="D6" s="5" t="n">
        <v>0</v>
      </c>
      <c r="E6" s="5" t="inlineStr">
        <is>
          <t>Other</t>
        </is>
      </c>
      <c r="F6" s="5" t="n">
        <v>0</v>
      </c>
      <c r="G6" s="5" t="n">
        <v>0</v>
      </c>
      <c r="H6" s="7">
        <f>C6+F6</f>
        <v/>
      </c>
      <c r="I6" s="7">
        <f>D6+G6</f>
        <v/>
      </c>
    </row>
    <row r="7" ht="22" customHeight="1">
      <c r="A7" s="2" t="inlineStr">
        <is>
          <t>Li2O</t>
        </is>
      </c>
      <c r="B7" s="5" t="inlineStr">
        <is>
          <t>Ta/Nb</t>
        </is>
      </c>
      <c r="C7" s="5" t="n">
        <v>0</v>
      </c>
      <c r="D7" s="5" t="n">
        <v>0</v>
      </c>
      <c r="E7" s="5" t="inlineStr">
        <is>
          <t>Other</t>
        </is>
      </c>
      <c r="F7" s="5" t="n">
        <v>0</v>
      </c>
      <c r="G7" s="5" t="n">
        <v>0</v>
      </c>
      <c r="H7" s="7">
        <f>C7+F7</f>
        <v/>
      </c>
      <c r="I7" s="7">
        <f>D7+G7</f>
        <v/>
      </c>
    </row>
    <row r="8" ht="22" customHeight="1">
      <c r="A8" s="2" t="inlineStr">
        <is>
          <t>Cu</t>
        </is>
      </c>
      <c r="B8" s="5" t="inlineStr">
        <is>
          <t>Au/Ag</t>
        </is>
      </c>
      <c r="C8" s="5" t="n">
        <v>0</v>
      </c>
      <c r="D8" s="5" t="n">
        <v>0</v>
      </c>
      <c r="E8" s="5" t="inlineStr">
        <is>
          <t>Co</t>
        </is>
      </c>
      <c r="F8" s="5" t="n">
        <v>0</v>
      </c>
      <c r="G8" s="5" t="n">
        <v>0</v>
      </c>
      <c r="H8" s="7">
        <f>C8+F8</f>
        <v/>
      </c>
      <c r="I8" s="7">
        <f>D8+G8</f>
        <v/>
      </c>
    </row>
  </sheetData>
  <mergeCells count="2">
    <mergeCell ref="A1:I1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2026-07-08T01:05:44Z</dcterms:created>
  <dcterms:modified xmlns:dcterms="http://purl.org/dc/terms/" xmlns:xsi="http://www.w3.org/2001/XMLSchema-instance" xsi:type="dcterms:W3CDTF">2026-07-08T01:05:46Z</dcterms:modified>
</cp:coreProperties>
</file>