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Control_Center" sheetId="1" state="visible" r:id="rId1"/>
    <sheet xmlns:r="http://schemas.openxmlformats.org/officeDocument/2006/relationships" name="01_Input_Assumptions" sheetId="2" state="visible" r:id="rId2"/>
    <sheet xmlns:r="http://schemas.openxmlformats.org/officeDocument/2006/relationships" name="02_Market_Index" sheetId="3" state="visible" r:id="rId3"/>
    <sheet xmlns:r="http://schemas.openxmlformats.org/officeDocument/2006/relationships" name="03_Logistics_Cost" sheetId="4" state="visible" r:id="rId4"/>
    <sheet xmlns:r="http://schemas.openxmlformats.org/officeDocument/2006/relationships" name="04_Settlement_Adjustments" sheetId="5" state="visible" r:id="rId5"/>
    <sheet xmlns:r="http://schemas.openxmlformats.org/officeDocument/2006/relationships" name="05_Commodity_Models" sheetId="6" state="visible" r:id="rId6"/>
    <sheet xmlns:r="http://schemas.openxmlformats.org/officeDocument/2006/relationships" name="06_Output_Quote" sheetId="7" state="visible" r:id="rId7"/>
  </sheets>
  <definedNames/>
  <calcPr calcId="124519" fullCalcOnLoad="1" forceFullCalc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000000"/>
    </font>
    <font>
      <name val="Arial"/>
      <b val="1"/>
      <color rgb="00FFFFFF"/>
    </font>
    <font>
      <name val="Arial"/>
      <sz val="10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6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vertical="center" wrapText="1"/>
    </xf>
    <xf numFmtId="0" fontId="2" fillId="3" borderId="0" applyAlignment="1" pivotButton="0" quotePrefix="0" xfId="0">
      <alignment vertical="center" wrapText="1"/>
    </xf>
    <xf numFmtId="0" fontId="4" fillId="2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3" fillId="2" borderId="0" applyAlignment="1" pivotButton="0" quotePrefix="0" xfId="0">
      <alignment vertical="center" wrapText="1"/>
    </xf>
    <xf numFmtId="4" fontId="4" fillId="4" borderId="1" applyAlignment="1" pivotButton="0" quotePrefix="0" xfId="0">
      <alignment vertical="center" wrapText="1"/>
    </xf>
    <xf numFmtId="0" fontId="4" fillId="4" borderId="1" applyAlignment="1" pivotButton="0" quotePrefix="0" xfId="0">
      <alignment vertical="center" wrapText="1"/>
    </xf>
    <xf numFmtId="0" fontId="3" fillId="2" borderId="1" applyAlignment="1" pivotButton="0" quotePrefix="0" xfId="0">
      <alignment vertical="center" wrapText="1"/>
    </xf>
    <xf numFmtId="10" fontId="4" fillId="4" borderId="1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4" fontId="4" fillId="3" borderId="1" applyAlignment="1" pivotButton="0" quotePrefix="0" xfId="0">
      <alignment vertical="center" wrapText="1"/>
    </xf>
    <xf numFmtId="10" fontId="4" fillId="3" borderId="1" applyAlignment="1" pivotButton="0" quotePrefix="0" xfId="0">
      <alignment vertical="center" wrapText="1"/>
    </xf>
    <xf numFmtId="0" fontId="0" fillId="3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42" customWidth="1" min="3" max="3"/>
    <col width="36" customWidth="1" min="4" max="4"/>
    <col width="16" customWidth="1" min="5" max="5"/>
    <col width="48" customWidth="1" min="6" max="6"/>
  </cols>
  <sheetData>
    <row r="1" ht="22" customHeight="1">
      <c r="A1" s="1" t="inlineStr">
        <is>
          <t>GCTS Metals Pricing Engine V0.3 Compact</t>
        </is>
      </c>
    </row>
    <row r="2" ht="22" customHeight="1">
      <c r="A2" s="2" t="inlineStr">
        <is>
          <t>7-sheet compact workbook: clean sections, benchmark dates, EXW/FOB scope, and dual-route outputs</t>
        </is>
      </c>
    </row>
    <row r="3" ht="22" customHeight="1"/>
    <row r="4" ht="22" customHeight="1">
      <c r="A4" s="3" t="inlineStr">
        <is>
          <t>Sheet</t>
        </is>
      </c>
      <c r="B4" s="3" t="inlineStr">
        <is>
          <t>Purpose</t>
        </is>
      </c>
      <c r="C4" s="3" t="inlineStr">
        <is>
          <t>Main Sections</t>
        </is>
      </c>
      <c r="D4" s="3" t="inlineStr">
        <is>
          <t>User Action</t>
        </is>
      </c>
      <c r="E4" s="3" t="inlineStr">
        <is>
          <t>Status</t>
        </is>
      </c>
      <c r="F4" s="3" t="inlineStr">
        <is>
          <t>Notes</t>
        </is>
      </c>
    </row>
    <row r="5" ht="22" customHeight="1">
      <c r="A5" s="4" t="inlineStr">
        <is>
          <t>01_Input_Assumptions</t>
        </is>
      </c>
      <c r="B5" s="4" t="inlineStr">
        <is>
          <t>录入层</t>
        </is>
      </c>
      <c r="C5" s="4" t="inlineStr">
        <is>
          <t>Global / Dual Route / Commodity / Incoterms</t>
        </is>
      </c>
      <c r="D5" s="4" t="inlineStr">
        <is>
          <t>更新数量、品位、EXW/FOB、采购价</t>
        </is>
      </c>
      <c r="E5" s="4" t="inlineStr">
        <is>
          <t>Active</t>
        </is>
      </c>
      <c r="F5" s="4" t="inlineStr">
        <is>
          <t>黄色单元格为主要输入</t>
        </is>
      </c>
    </row>
    <row r="6" ht="22" customHeight="1">
      <c r="A6" s="4" t="inlineStr">
        <is>
          <t>02_Market_Index</t>
        </is>
      </c>
      <c r="B6" s="4" t="inlineStr">
        <is>
          <t>价格层</t>
        </is>
      </c>
      <c r="C6" s="4" t="inlineStr">
        <is>
          <t>Benchmark / Index / Methodology</t>
        </is>
      </c>
      <c r="D6" s="4" t="inlineStr">
        <is>
          <t>更新价格来源、日期、基准价</t>
        </is>
      </c>
      <c r="E6" s="4" t="inlineStr">
        <is>
          <t>Active</t>
        </is>
      </c>
      <c r="F6" s="4" t="inlineStr">
        <is>
          <t>正式报价前必须更新日期</t>
        </is>
      </c>
    </row>
    <row r="7" ht="22" customHeight="1">
      <c r="A7" s="4" t="inlineStr">
        <is>
          <t>03_Logistics_Cost</t>
        </is>
      </c>
      <c r="B7" s="4" t="inlineStr">
        <is>
          <t>物流成本层</t>
        </is>
      </c>
      <c r="C7" s="4" t="inlineStr">
        <is>
          <t>Common Costs / Commodity Logistics</t>
        </is>
      </c>
      <c r="D7" s="4" t="inlineStr">
        <is>
          <t>检查内陆、海运、报关、税费</t>
        </is>
      </c>
      <c r="E7" s="4" t="inlineStr">
        <is>
          <t>Active</t>
        </is>
      </c>
      <c r="F7" s="4" t="inlineStr">
        <is>
          <t>FOB会自动归零部分成本</t>
        </is>
      </c>
    </row>
    <row r="8" ht="22" customHeight="1">
      <c r="A8" s="4" t="inlineStr">
        <is>
          <t>04_Settlement_Adjustments</t>
        </is>
      </c>
      <c r="B8" s="4" t="inlineStr">
        <is>
          <t>结算调整层</t>
        </is>
      </c>
      <c r="C8" s="4" t="inlineStr">
        <is>
          <t>TC/RC / Assay / Byproduct</t>
        </is>
      </c>
      <c r="D8" s="4" t="inlineStr">
        <is>
          <t>录入最终化验和副产品</t>
        </is>
      </c>
      <c r="E8" s="4" t="inlineStr">
        <is>
          <t>Active</t>
        </is>
      </c>
      <c r="F8" s="4" t="inlineStr">
        <is>
          <t>默认不倒灌主输入</t>
        </is>
      </c>
    </row>
    <row r="9" ht="22" customHeight="1">
      <c r="A9" s="4" t="inlineStr">
        <is>
          <t>05_Commodity_Models</t>
        </is>
      </c>
      <c r="B9" s="4" t="inlineStr">
        <is>
          <t>模型层</t>
        </is>
      </c>
      <c r="C9" s="4" t="inlineStr">
        <is>
          <t>Sb / WO3 / Li2O / Cu</t>
        </is>
      </c>
      <c r="D9" s="4" t="inlineStr">
        <is>
          <t>查看分矿种P&amp;L</t>
        </is>
      </c>
      <c r="E9" s="4" t="inlineStr">
        <is>
          <t>Active</t>
        </is>
      </c>
      <c r="F9" s="4" t="inlineStr">
        <is>
          <t>核心计算区</t>
        </is>
      </c>
    </row>
    <row r="10" ht="22" customHeight="1">
      <c r="A10" s="4" t="inlineStr">
        <is>
          <t>06_Output_Quote</t>
        </is>
      </c>
      <c r="B10" s="4" t="inlineStr">
        <is>
          <t>输出层</t>
        </is>
      </c>
      <c r="C10" s="4" t="inlineStr">
        <is>
          <t>Summary / Offer / Scenario</t>
        </is>
      </c>
      <c r="D10" s="4" t="inlineStr">
        <is>
          <t>生成报价与市场建议</t>
        </is>
      </c>
      <c r="E10" s="4" t="inlineStr">
        <is>
          <t>Active</t>
        </is>
      </c>
      <c r="F10" s="4" t="inlineStr">
        <is>
          <t>面向业务汇报</t>
        </is>
      </c>
    </row>
    <row r="11" ht="22" customHeight="1"/>
    <row r="12" ht="22" customHeight="1"/>
    <row r="13" ht="22" customHeight="1">
      <c r="A13" s="3" t="inlineStr">
        <is>
          <t>Check</t>
        </is>
      </c>
      <c r="B13" s="3" t="inlineStr">
        <is>
          <t>Sb</t>
        </is>
      </c>
      <c r="C13" s="3" t="inlineStr">
        <is>
          <t>WO3</t>
        </is>
      </c>
      <c r="D13" s="3" t="inlineStr">
        <is>
          <t>Li2O</t>
        </is>
      </c>
      <c r="E13" s="3" t="inlineStr">
        <is>
          <t>Cu</t>
        </is>
      </c>
      <c r="F13" s="3" t="inlineStr">
        <is>
          <t>Rule</t>
        </is>
      </c>
    </row>
    <row r="14" ht="22" customHeight="1">
      <c r="A14" s="4" t="inlineStr">
        <is>
          <t>Benchmark Date</t>
        </is>
      </c>
      <c r="B14" s="4">
        <f>IF(AND('02_Market_Index'!D6&lt;&gt;"",'02_Market_Index'!H6&lt;&gt;""),"OK","Check")</f>
        <v/>
      </c>
      <c r="C14" s="4">
        <f>IF(AND('02_Market_Index'!D7&lt;&gt;"",'02_Market_Index'!H7&lt;&gt;""),"OK","Check")</f>
        <v/>
      </c>
      <c r="D14" s="4">
        <f>IF(AND('02_Market_Index'!D8&lt;&gt;"",'02_Market_Index'!H8&lt;&gt;""),"OK","Check")</f>
        <v/>
      </c>
      <c r="E14" s="4">
        <f>IF(AND('02_Market_Index'!D9&lt;&gt;"",'02_Market_Index'!H9&lt;&gt;""),"OK","Check")</f>
        <v/>
      </c>
      <c r="F14" s="4" t="inlineStr">
        <is>
          <t>Intl/Dom dates required</t>
        </is>
      </c>
    </row>
    <row r="15" ht="22" customHeight="1">
      <c r="A15" s="4" t="inlineStr">
        <is>
          <t>Incoterm</t>
        </is>
      </c>
      <c r="B15" s="4">
        <f>IF(OR('01_Input_Assumptions'!B17="EXW",'01_Input_Assumptions'!B17="FOB"),"OK","Check")</f>
        <v/>
      </c>
      <c r="C15" s="4">
        <f>IF(OR('01_Input_Assumptions'!B18="EXW",'01_Input_Assumptions'!B18="FOB"),"OK","Check")</f>
        <v/>
      </c>
      <c r="D15" s="4">
        <f>IF(OR('01_Input_Assumptions'!B19="EXW",'01_Input_Assumptions'!B19="FOB"),"OK","Check")</f>
        <v/>
      </c>
      <c r="E15" s="4">
        <f>IF(OR('01_Input_Assumptions'!B20="EXW",'01_Input_Assumptions'!B20="FOB"),"OK","Check")</f>
        <v/>
      </c>
      <c r="F15" s="4" t="inlineStr">
        <is>
          <t>EXW or FOB</t>
        </is>
      </c>
    </row>
    <row r="16" ht="22" customHeight="1">
      <c r="A16" s="4" t="inlineStr">
        <is>
          <t>FOB Scope</t>
        </is>
      </c>
      <c r="B16" s="4">
        <f>IF('01_Input_Assumptions'!B17&lt;&gt;"FOB","EXW split",IF(AND('03_Logistics_Cost'!L19=0,'03_Logistics_Cost'!M19=0,'03_Logistics_Cost'!N19=0,'03_Logistics_Cost'!O19=0,'03_Logistics_Cost'!P19=0),"OK","Check"))</f>
        <v/>
      </c>
      <c r="C16" s="4">
        <f>IF('01_Input_Assumptions'!B18&lt;&gt;"FOB","EXW split",IF(AND('03_Logistics_Cost'!L20=0,'03_Logistics_Cost'!M20=0,'03_Logistics_Cost'!N20=0,'03_Logistics_Cost'!O20=0,'03_Logistics_Cost'!P20=0),"OK","Check"))</f>
        <v/>
      </c>
      <c r="D16" s="4">
        <f>IF('01_Input_Assumptions'!B19&lt;&gt;"FOB","EXW split",IF(AND('03_Logistics_Cost'!L21=0,'03_Logistics_Cost'!M21=0,'03_Logistics_Cost'!N21=0,'03_Logistics_Cost'!O21=0,'03_Logistics_Cost'!P21=0),"OK","Check"))</f>
        <v/>
      </c>
      <c r="E16" s="4">
        <f>IF('01_Input_Assumptions'!B20&lt;&gt;"FOB","EXW split",IF(AND('03_Logistics_Cost'!L22=0,'03_Logistics_Cost'!M22=0,'03_Logistics_Cost'!N22=0,'03_Logistics_Cost'!O22=0,'03_Logistics_Cost'!P22=0),"OK","Check"))</f>
        <v/>
      </c>
      <c r="F16" s="4" t="inlineStr">
        <is>
          <t>FOB zeroes inland/rail/customs/fixed/duty</t>
        </is>
      </c>
    </row>
    <row r="17" ht="22" customHeight="1">
      <c r="A17" s="4" t="inlineStr">
        <is>
          <t>Recommended Market</t>
        </is>
      </c>
      <c r="B17" s="4">
        <f>'05_Commodity_Models'!G20</f>
        <v/>
      </c>
      <c r="C17" s="4">
        <f>'05_Commodity_Models'!G39</f>
        <v/>
      </c>
      <c r="D17" s="4">
        <f>'05_Commodity_Models'!G58</f>
        <v/>
      </c>
      <c r="E17" s="4">
        <f>'05_Commodity_Models'!G77</f>
        <v/>
      </c>
      <c r="F17" s="4" t="inlineStr">
        <is>
          <t>International/Domestic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3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42" customWidth="1" min="10" max="10"/>
    <col width="42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6" customWidth="1" min="17" max="17"/>
    <col width="16" customWidth="1" min="18" max="18"/>
    <col width="16" customWidth="1" min="19" max="19"/>
    <col width="16" customWidth="1" min="20" max="20"/>
    <col width="16" customWidth="1" min="21" max="21"/>
    <col width="16" customWidth="1" min="22" max="22"/>
    <col width="16" customWidth="1" min="23" max="23"/>
    <col width="16" customWidth="1" min="24" max="24"/>
    <col width="16" customWidth="1" min="25" max="25"/>
    <col width="16" customWidth="1" min="26" max="26"/>
    <col width="48" customWidth="1" min="27" max="27"/>
  </cols>
  <sheetData>
    <row r="1" ht="22" customHeight="1">
      <c r="A1" s="1" t="inlineStr">
        <is>
          <t>01 Input Assumptions</t>
        </is>
      </c>
    </row>
    <row r="2" ht="22" customHeight="1">
      <c r="A2" s="2" t="inlineStr">
        <is>
          <t>All user-maintained assumptions in one clean sheet</t>
        </is>
      </c>
    </row>
    <row r="3" ht="22" customHeight="1"/>
    <row r="4" ht="22" customHeight="1">
      <c r="A4" s="5" t="inlineStr">
        <is>
          <t>A. Global Assumptions</t>
        </is>
      </c>
    </row>
    <row r="5" ht="22" customHeight="1">
      <c r="A5" s="3" t="inlineStr">
        <is>
          <t>Code</t>
        </is>
      </c>
      <c r="B5" s="3" t="inlineStr">
        <is>
          <t>Value</t>
        </is>
      </c>
      <c r="C5" s="3" t="inlineStr">
        <is>
          <t>Unit</t>
        </is>
      </c>
      <c r="D5" s="3" t="inlineStr">
        <is>
          <t>Description</t>
        </is>
      </c>
      <c r="E5" s="3" t="inlineStr">
        <is>
          <t>Source / Note</t>
        </is>
      </c>
    </row>
    <row r="6" ht="22" customHeight="1">
      <c r="A6" s="4" t="inlineStr">
        <is>
          <t>FX_USD_RMB</t>
        </is>
      </c>
      <c r="B6" s="6" t="n">
        <v>7.2</v>
      </c>
      <c r="C6" s="4" t="inlineStr">
        <is>
          <t>RMB/USD</t>
        </is>
      </c>
      <c r="D6" s="4" t="inlineStr">
        <is>
          <t>美元兑人民币汇率</t>
        </is>
      </c>
      <c r="E6" s="4" t="inlineStr">
        <is>
          <t>User input</t>
        </is>
      </c>
    </row>
    <row r="7" ht="22" customHeight="1">
      <c r="A7" s="4" t="inlineStr">
        <is>
          <t>Default_Quantity_WMT</t>
        </is>
      </c>
      <c r="B7" s="6" t="n">
        <v>100</v>
      </c>
      <c r="C7" s="4" t="inlineStr">
        <is>
          <t>WMT</t>
        </is>
      </c>
      <c r="D7" s="4" t="inlineStr">
        <is>
          <t>默认湿吨数量</t>
        </is>
      </c>
      <c r="E7" s="4" t="inlineStr">
        <is>
          <t>User input</t>
        </is>
      </c>
    </row>
    <row r="8" ht="22" customHeight="1">
      <c r="A8" s="4" t="inlineStr">
        <is>
          <t>FOB_Port</t>
        </is>
      </c>
      <c r="B8" s="7" t="inlineStr">
        <is>
          <t>Douala, Cameroon</t>
        </is>
      </c>
      <c r="C8" s="4" t="inlineStr">
        <is>
          <t>-</t>
        </is>
      </c>
      <c r="D8" s="4" t="inlineStr">
        <is>
          <t>默认上游交货港</t>
        </is>
      </c>
      <c r="E8" s="4" t="inlineStr">
        <is>
          <t>User input</t>
        </is>
      </c>
    </row>
    <row r="9" ht="22" customHeight="1">
      <c r="A9" s="4" t="inlineStr">
        <is>
          <t>Origin</t>
        </is>
      </c>
      <c r="B9" s="7" t="inlineStr">
        <is>
          <t>Chad</t>
        </is>
      </c>
      <c r="C9" s="4" t="inlineStr">
        <is>
          <t>-</t>
        </is>
      </c>
      <c r="D9" s="4" t="inlineStr">
        <is>
          <t>默认矿源国</t>
        </is>
      </c>
      <c r="E9" s="4" t="inlineStr">
        <is>
          <t>User input</t>
        </is>
      </c>
    </row>
    <row r="10" ht="22" customHeight="1">
      <c r="A10" s="4" t="inlineStr">
        <is>
          <t>Trader_Entity</t>
        </is>
      </c>
      <c r="B10" s="7" t="inlineStr">
        <is>
          <t>Hong Kong SPV</t>
        </is>
      </c>
      <c r="C10" s="4" t="inlineStr">
        <is>
          <t>-</t>
        </is>
      </c>
      <c r="D10" s="4" t="inlineStr">
        <is>
          <t>离岸贸易主体</t>
        </is>
      </c>
      <c r="E10" s="4" t="inlineStr">
        <is>
          <t>User input</t>
        </is>
      </c>
    </row>
    <row r="11" ht="22" customHeight="1">
      <c r="A11" s="4" t="inlineStr">
        <is>
          <t>Model_Version</t>
        </is>
      </c>
      <c r="B11" s="7" t="inlineStr">
        <is>
          <t>V0.3 Compact</t>
        </is>
      </c>
      <c r="C11" s="4" t="inlineStr">
        <is>
          <t>-</t>
        </is>
      </c>
      <c r="D11" s="4" t="inlineStr">
        <is>
          <t>GCTS多矿种报价引擎</t>
        </is>
      </c>
      <c r="E11" s="4" t="inlineStr">
        <is>
          <t>Generated 2026-07-07</t>
        </is>
      </c>
    </row>
    <row r="12" ht="22" customHeight="1"/>
    <row r="13" ht="22" customHeight="1"/>
    <row r="14" ht="22" customHeight="1"/>
    <row r="15" ht="22" customHeight="1">
      <c r="A15" s="5" t="inlineStr">
        <is>
          <t>B. Dual Route Inputs</t>
        </is>
      </c>
    </row>
    <row r="16" ht="22" customHeight="1">
      <c r="A16" s="3" t="inlineStr">
        <is>
          <t>Commodity</t>
        </is>
      </c>
      <c r="B16" s="3" t="inlineStr">
        <is>
          <t>Purchase Incoterm</t>
        </is>
      </c>
      <c r="C16" s="3" t="inlineStr">
        <is>
          <t>WMT</t>
        </is>
      </c>
      <c r="D16" s="3" t="inlineStr">
        <is>
          <t>Moisture</t>
        </is>
      </c>
      <c r="E16" s="3" t="inlineStr">
        <is>
          <t>Grade</t>
        </is>
      </c>
      <c r="F16" s="3" t="inlineStr">
        <is>
          <t>Purchase Cost</t>
        </is>
      </c>
      <c r="G16" s="3" t="inlineStr">
        <is>
          <t>Purchase Basis</t>
        </is>
      </c>
      <c r="H16" s="3" t="inlineStr">
        <is>
          <t>Trucking USD/WMT</t>
        </is>
      </c>
      <c r="I16" s="3" t="inlineStr">
        <is>
          <t>Rail USD/WMT</t>
        </is>
      </c>
      <c r="J16" s="3" t="inlineStr">
        <is>
          <t>Intl Source</t>
        </is>
      </c>
      <c r="K16" s="3" t="inlineStr">
        <is>
          <t>Intl Date</t>
        </is>
      </c>
      <c r="L16" s="3" t="inlineStr">
        <is>
          <t>Intl Price</t>
        </is>
      </c>
      <c r="M16" s="3" t="inlineStr">
        <is>
          <t>Intl Payability</t>
        </is>
      </c>
      <c r="N16" s="3" t="inlineStr">
        <is>
          <t>Intl TC</t>
        </is>
      </c>
      <c r="O16" s="3" t="inlineStr">
        <is>
          <t>Intl Sea USD/WMT</t>
        </is>
      </c>
      <c r="P16" s="3" t="inlineStr">
        <is>
          <t>Intl Customs USD/DMT</t>
        </is>
      </c>
      <c r="Q16" s="3" t="inlineStr">
        <is>
          <t>Intl Export Duty %</t>
        </is>
      </c>
      <c r="R16" s="3" t="inlineStr">
        <is>
          <t>Dom Source</t>
        </is>
      </c>
      <c r="S16" s="3" t="inlineStr">
        <is>
          <t>Dom Date</t>
        </is>
      </c>
      <c r="T16" s="3" t="inlineStr">
        <is>
          <t>Dom Price</t>
        </is>
      </c>
      <c r="U16" s="3" t="inlineStr">
        <is>
          <t>Dom Payability</t>
        </is>
      </c>
      <c r="V16" s="3" t="inlineStr">
        <is>
          <t>Dom TC</t>
        </is>
      </c>
      <c r="W16" s="3" t="inlineStr">
        <is>
          <t>Dom Sea USD/WMT</t>
        </is>
      </c>
      <c r="X16" s="3" t="inlineStr">
        <is>
          <t>Dom Customs USD/DMT</t>
        </is>
      </c>
      <c r="Y16" s="3" t="inlineStr">
        <is>
          <t>Dom Export Duty %</t>
        </is>
      </c>
      <c r="Z16" s="3" t="inlineStr">
        <is>
          <t>FX</t>
        </is>
      </c>
      <c r="AA16" s="3" t="inlineStr">
        <is>
          <t>FOB Offer</t>
        </is>
      </c>
      <c r="AB16" s="8" t="inlineStr">
        <is>
          <t>Note</t>
        </is>
      </c>
    </row>
    <row r="17" ht="22" customHeight="1">
      <c r="A17" s="4" t="inlineStr">
        <is>
          <t>Sb</t>
        </is>
      </c>
      <c r="B17" s="7">
        <f>B34</f>
        <v/>
      </c>
      <c r="C17" s="6" t="n">
        <v>526.3</v>
      </c>
      <c r="D17" s="9" t="n">
        <v>0.05</v>
      </c>
      <c r="E17" s="9" t="n">
        <v>0.5</v>
      </c>
      <c r="F17" s="6" t="n">
        <v>3000</v>
      </c>
      <c r="G17" s="7" t="inlineStr">
        <is>
          <t>USD/DMT</t>
        </is>
      </c>
      <c r="H17" s="6" t="n">
        <v>200</v>
      </c>
      <c r="I17" s="6" t="n">
        <v>120</v>
      </c>
      <c r="J17" s="7">
        <f>'02_Market_Index'!C6</f>
        <v/>
      </c>
      <c r="K17" s="7">
        <f>'02_Market_Index'!D6</f>
        <v/>
      </c>
      <c r="L17" s="6">
        <f>'02_Market_Index'!F6</f>
        <v/>
      </c>
      <c r="M17" s="9" t="n">
        <v>0.8</v>
      </c>
      <c r="N17" s="6" t="n">
        <v>1200</v>
      </c>
      <c r="O17" s="6" t="n">
        <v>65</v>
      </c>
      <c r="P17" s="6" t="n">
        <v>35</v>
      </c>
      <c r="Q17" s="9" t="n">
        <v>0.02</v>
      </c>
      <c r="R17" s="7">
        <f>'02_Market_Index'!G6</f>
        <v/>
      </c>
      <c r="S17" s="7">
        <f>'02_Market_Index'!H6</f>
        <v/>
      </c>
      <c r="T17" s="6">
        <f>'02_Market_Index'!J6</f>
        <v/>
      </c>
      <c r="U17" s="9" t="n">
        <v>0.72</v>
      </c>
      <c r="V17" s="6" t="n">
        <v>8500</v>
      </c>
      <c r="W17" s="6" t="n">
        <v>65</v>
      </c>
      <c r="X17" s="6" t="n">
        <v>35</v>
      </c>
      <c r="Y17" s="9" t="n">
        <v>0.02</v>
      </c>
      <c r="Z17" s="6">
        <f>B6</f>
        <v/>
      </c>
      <c r="AA17" s="7" t="n">
        <v>3500</v>
      </c>
      <c r="AB17" s="10" t="inlineStr">
        <is>
          <t>Purchase Incoterm is controlled in section D</t>
        </is>
      </c>
    </row>
    <row r="18" ht="22" customHeight="1">
      <c r="A18" s="4" t="inlineStr">
        <is>
          <t>WO3</t>
        </is>
      </c>
      <c r="B18" s="7">
        <f>B35</f>
        <v/>
      </c>
      <c r="C18" s="6" t="n">
        <v>30.61</v>
      </c>
      <c r="D18" s="9" t="n">
        <v>0.02</v>
      </c>
      <c r="E18" s="9" t="n">
        <v>0.43</v>
      </c>
      <c r="F18" s="6" t="n">
        <v>750</v>
      </c>
      <c r="G18" s="7" t="inlineStr">
        <is>
          <t>USD/MTU</t>
        </is>
      </c>
      <c r="H18" s="6" t="n">
        <v>200</v>
      </c>
      <c r="I18" s="6" t="n">
        <v>120</v>
      </c>
      <c r="J18" s="7">
        <f>'02_Market_Index'!C7</f>
        <v/>
      </c>
      <c r="K18" s="7">
        <f>'02_Market_Index'!D7</f>
        <v/>
      </c>
      <c r="L18" s="6">
        <f>'02_Market_Index'!F7</f>
        <v/>
      </c>
      <c r="M18" s="9" t="n">
        <v>0.45</v>
      </c>
      <c r="N18" s="6" t="n">
        <v>0</v>
      </c>
      <c r="O18" s="6" t="n">
        <v>65</v>
      </c>
      <c r="P18" s="6" t="n">
        <v>35</v>
      </c>
      <c r="Q18" s="9" t="n">
        <v>0.02</v>
      </c>
      <c r="R18" s="7">
        <f>'02_Market_Index'!G7</f>
        <v/>
      </c>
      <c r="S18" s="7">
        <f>'02_Market_Index'!H7</f>
        <v/>
      </c>
      <c r="T18" s="6">
        <f>'02_Market_Index'!J7</f>
        <v/>
      </c>
      <c r="U18" s="9" t="n">
        <v>0.85</v>
      </c>
      <c r="V18" s="6" t="n">
        <v>0</v>
      </c>
      <c r="W18" s="6" t="n">
        <v>65</v>
      </c>
      <c r="X18" s="6" t="n">
        <v>35</v>
      </c>
      <c r="Y18" s="9" t="n">
        <v>0.02</v>
      </c>
      <c r="Z18" s="6">
        <f>B6</f>
        <v/>
      </c>
      <c r="AA18" s="7" t="n">
        <v>800</v>
      </c>
      <c r="AB18" s="10" t="inlineStr">
        <is>
          <t>Purchase Incoterm is controlled in section D</t>
        </is>
      </c>
    </row>
    <row r="19" ht="22" customHeight="1">
      <c r="A19" s="4" t="inlineStr">
        <is>
          <t>Li2O</t>
        </is>
      </c>
      <c r="B19" s="7">
        <f>B36</f>
        <v/>
      </c>
      <c r="C19" s="6" t="n">
        <v>1030.9</v>
      </c>
      <c r="D19" s="9" t="n">
        <v>0.03</v>
      </c>
      <c r="E19" s="9" t="n">
        <v>0.06</v>
      </c>
      <c r="F19" s="6" t="n">
        <v>750</v>
      </c>
      <c r="G19" s="7" t="inlineStr">
        <is>
          <t>USD/DMT</t>
        </is>
      </c>
      <c r="H19" s="6" t="n">
        <v>80</v>
      </c>
      <c r="I19" s="6" t="n">
        <v>0</v>
      </c>
      <c r="J19" s="7">
        <f>'02_Market_Index'!C8</f>
        <v/>
      </c>
      <c r="K19" s="7">
        <f>'02_Market_Index'!D8</f>
        <v/>
      </c>
      <c r="L19" s="6">
        <f>'02_Market_Index'!F8</f>
        <v/>
      </c>
      <c r="M19" s="9" t="n">
        <v>0.75</v>
      </c>
      <c r="N19" s="6" t="n">
        <v>0</v>
      </c>
      <c r="O19" s="6" t="n">
        <v>70</v>
      </c>
      <c r="P19" s="6" t="n">
        <v>30</v>
      </c>
      <c r="Q19" s="9" t="n">
        <v>0.01</v>
      </c>
      <c r="R19" s="7">
        <f>'02_Market_Index'!G8</f>
        <v/>
      </c>
      <c r="S19" s="7">
        <f>'02_Market_Index'!H8</f>
        <v/>
      </c>
      <c r="T19" s="6">
        <f>'02_Market_Index'!J8</f>
        <v/>
      </c>
      <c r="U19" s="9" t="n">
        <v>0.7</v>
      </c>
      <c r="V19" s="6" t="n">
        <v>0</v>
      </c>
      <c r="W19" s="6" t="n">
        <v>70</v>
      </c>
      <c r="X19" s="6" t="n">
        <v>30</v>
      </c>
      <c r="Y19" s="9" t="n">
        <v>0.01</v>
      </c>
      <c r="Z19" s="6">
        <f>B6</f>
        <v/>
      </c>
      <c r="AA19" s="7" t="n">
        <v>900</v>
      </c>
      <c r="AB19" s="10" t="inlineStr">
        <is>
          <t>Purchase Incoterm is controlled in section D</t>
        </is>
      </c>
    </row>
    <row r="20" ht="22" customHeight="1">
      <c r="A20" s="4" t="inlineStr">
        <is>
          <t>Cu</t>
        </is>
      </c>
      <c r="B20" s="7">
        <f>B37</f>
        <v/>
      </c>
      <c r="C20" s="6" t="n">
        <v>1041.7</v>
      </c>
      <c r="D20" s="9" t="n">
        <v>0.04</v>
      </c>
      <c r="E20" s="9" t="n">
        <v>0.25</v>
      </c>
      <c r="F20" s="6" t="n">
        <v>1200</v>
      </c>
      <c r="G20" s="7" t="inlineStr">
        <is>
          <t>USD/DMT</t>
        </is>
      </c>
      <c r="H20" s="6" t="n">
        <v>320</v>
      </c>
      <c r="I20" s="6" t="n">
        <v>50</v>
      </c>
      <c r="J20" s="7">
        <f>'02_Market_Index'!C9</f>
        <v/>
      </c>
      <c r="K20" s="7">
        <f>'02_Market_Index'!D9</f>
        <v/>
      </c>
      <c r="L20" s="6">
        <f>'02_Market_Index'!F9</f>
        <v/>
      </c>
      <c r="M20" s="9" t="n">
        <v>0.82</v>
      </c>
      <c r="N20" s="6" t="n">
        <v>0</v>
      </c>
      <c r="O20" s="6" t="n">
        <v>110</v>
      </c>
      <c r="P20" s="6" t="n">
        <v>50</v>
      </c>
      <c r="Q20" s="9" t="n">
        <v>0.05</v>
      </c>
      <c r="R20" s="7">
        <f>'02_Market_Index'!G9</f>
        <v/>
      </c>
      <c r="S20" s="7">
        <f>'02_Market_Index'!H9</f>
        <v/>
      </c>
      <c r="T20" s="6">
        <f>'02_Market_Index'!J9</f>
        <v/>
      </c>
      <c r="U20" s="9" t="n">
        <v>0.78</v>
      </c>
      <c r="V20" s="6" t="n">
        <v>0</v>
      </c>
      <c r="W20" s="6" t="n">
        <v>110</v>
      </c>
      <c r="X20" s="6" t="n">
        <v>50</v>
      </c>
      <c r="Y20" s="9" t="n">
        <v>0.05</v>
      </c>
      <c r="Z20" s="6">
        <f>B6</f>
        <v/>
      </c>
      <c r="AA20" s="7" t="n">
        <v>2200</v>
      </c>
      <c r="AB20" s="10" t="inlineStr">
        <is>
          <t>Purchase Incoterm is controlled in section D</t>
        </is>
      </c>
    </row>
    <row r="21" ht="22" customHeight="1"/>
    <row r="22" ht="22" customHeight="1"/>
    <row r="23" ht="22" customHeight="1">
      <c r="A23" s="5" t="inlineStr">
        <is>
          <t>C. Commodity Method &amp; Penalty Map</t>
        </is>
      </c>
    </row>
    <row r="24" ht="22" customHeight="1">
      <c r="A24" s="3" t="inlineStr">
        <is>
          <t>Commodity</t>
        </is>
      </c>
      <c r="B24" s="3" t="inlineStr">
        <is>
          <t>Model Section</t>
        </is>
      </c>
      <c r="C24" s="3" t="inlineStr">
        <is>
          <t>Formula Type</t>
        </is>
      </c>
      <c r="D24" s="3" t="inlineStr">
        <is>
          <t>Method Source</t>
        </is>
      </c>
      <c r="E24" s="3" t="inlineStr">
        <is>
          <t>Purchase Basis</t>
        </is>
      </c>
      <c r="F24" s="3" t="inlineStr">
        <is>
          <t>Index Source</t>
        </is>
      </c>
      <c r="G24" s="3" t="inlineStr">
        <is>
          <t>Domestic Source</t>
        </is>
      </c>
      <c r="H24" s="3" t="inlineStr">
        <is>
          <t>Unit Note</t>
        </is>
      </c>
      <c r="I24" s="3" t="inlineStr">
        <is>
          <t>Risk Note</t>
        </is>
      </c>
      <c r="J24" s="3" t="inlineStr">
        <is>
          <t>Model Active</t>
        </is>
      </c>
      <c r="K24" s="3" t="inlineStr">
        <is>
          <t>Control Note</t>
        </is>
      </c>
      <c r="L24" s="3" t="inlineStr">
        <is>
          <t>Penalty USD/DMT</t>
        </is>
      </c>
    </row>
    <row r="25" ht="22" customHeight="1">
      <c r="A25" s="4" t="inlineStr">
        <is>
          <t>Sb</t>
        </is>
      </c>
      <c r="B25" s="4" t="inlineStr">
        <is>
          <t>锑矿模型</t>
        </is>
      </c>
      <c r="C25" s="11">
        <f>'02_Market_Index'!B22</f>
        <v/>
      </c>
      <c r="D25" s="11">
        <f>'02_Market_Index'!A22&amp;" / "&amp;'02_Market_Index'!B22</f>
        <v/>
      </c>
      <c r="E25" s="11">
        <f>G17</f>
        <v/>
      </c>
      <c r="F25" s="11">
        <f>J17</f>
        <v/>
      </c>
      <c r="G25" s="11">
        <f>R17</f>
        <v/>
      </c>
      <c r="H25" s="11">
        <f>'02_Market_Index'!G22</f>
        <v/>
      </c>
      <c r="I25" s="11" t="inlineStr">
        <is>
          <t>样品代表性、As/Hg/Pb/Cd、合法出口</t>
        </is>
      </c>
      <c r="J25" s="11" t="inlineStr">
        <is>
          <t>Active</t>
        </is>
      </c>
      <c r="K25" s="11" t="inlineStr">
        <is>
          <t>Method detail maintained in 02_Market_Index C. Pricing Methodology</t>
        </is>
      </c>
      <c r="L25" s="6" t="n">
        <v>0</v>
      </c>
    </row>
    <row r="26" ht="22" customHeight="1">
      <c r="A26" s="4" t="inlineStr">
        <is>
          <t>WO3</t>
        </is>
      </c>
      <c r="B26" s="4" t="inlineStr">
        <is>
          <t>钨矿模型</t>
        </is>
      </c>
      <c r="C26" s="11">
        <f>'02_Market_Index'!B23</f>
        <v/>
      </c>
      <c r="D26" s="11">
        <f>'02_Market_Index'!A23&amp;" / "&amp;'02_Market_Index'!B23</f>
        <v/>
      </c>
      <c r="E26" s="11">
        <f>G18</f>
        <v/>
      </c>
      <c r="F26" s="11">
        <f>J18</f>
        <v/>
      </c>
      <c r="G26" s="11">
        <f>R18</f>
        <v/>
      </c>
      <c r="H26" s="11">
        <f>'02_Market_Index'!G23</f>
        <v/>
      </c>
      <c r="I26" s="11" t="inlineStr">
        <is>
          <t>3TG/OECD/RMI追溯、Sn/Mo/U/Th</t>
        </is>
      </c>
      <c r="J26" s="11" t="inlineStr">
        <is>
          <t>Active</t>
        </is>
      </c>
      <c r="K26" s="11" t="inlineStr">
        <is>
          <t>Method detail maintained in 02_Market_Index C. Pricing Methodology</t>
        </is>
      </c>
      <c r="L26" s="6" t="n">
        <v>0</v>
      </c>
    </row>
    <row r="27" ht="22" customHeight="1">
      <c r="A27" s="4" t="inlineStr">
        <is>
          <t>Li2O</t>
        </is>
      </c>
      <c r="B27" s="4" t="inlineStr">
        <is>
          <t>锂矿模型</t>
        </is>
      </c>
      <c r="C27" s="11">
        <f>'02_Market_Index'!B24</f>
        <v/>
      </c>
      <c r="D27" s="11">
        <f>'02_Market_Index'!A24&amp;" / "&amp;'02_Market_Index'!B24</f>
        <v/>
      </c>
      <c r="E27" s="11">
        <f>G19</f>
        <v/>
      </c>
      <c r="F27" s="11">
        <f>J19</f>
        <v/>
      </c>
      <c r="G27" s="11">
        <f>R19</f>
        <v/>
      </c>
      <c r="H27" s="11">
        <f>'02_Market_Index'!G24</f>
        <v/>
      </c>
      <c r="I27" s="11" t="inlineStr">
        <is>
          <t>6%基准适用性、云母/辉石差异、杂质</t>
        </is>
      </c>
      <c r="J27" s="11" t="inlineStr">
        <is>
          <t>Active</t>
        </is>
      </c>
      <c r="K27" s="11" t="inlineStr">
        <is>
          <t>Method detail maintained in 02_Market_Index C. Pricing Methodology</t>
        </is>
      </c>
      <c r="L27" s="6" t="n">
        <v>0</v>
      </c>
    </row>
    <row r="28" ht="22" customHeight="1">
      <c r="A28" s="4" t="inlineStr">
        <is>
          <t>Cu</t>
        </is>
      </c>
      <c r="B28" s="4" t="inlineStr">
        <is>
          <t>铜精矿模型</t>
        </is>
      </c>
      <c r="C28" s="11">
        <f>'02_Market_Index'!B25</f>
        <v/>
      </c>
      <c r="D28" s="11">
        <f>'02_Market_Index'!A25&amp;" / "&amp;'02_Market_Index'!B25</f>
        <v/>
      </c>
      <c r="E28" s="11">
        <f>G20</f>
        <v/>
      </c>
      <c r="F28" s="11">
        <f>J20</f>
        <v/>
      </c>
      <c r="G28" s="11">
        <f>R20</f>
        <v/>
      </c>
      <c r="H28" s="11">
        <f>'02_Market_Index'!G25</f>
        <v/>
      </c>
      <c r="I28" s="11" t="inlineStr">
        <is>
          <t>TC/RC、含金银副产品、砷/氟/汞</t>
        </is>
      </c>
      <c r="J28" s="11" t="inlineStr">
        <is>
          <t>Active</t>
        </is>
      </c>
      <c r="K28" s="11" t="inlineStr">
        <is>
          <t>Method detail maintained in 02_Market_Index C. Pricing Methodology</t>
        </is>
      </c>
      <c r="L28" s="6" t="n">
        <v>0</v>
      </c>
    </row>
    <row r="29" ht="22" customHeight="1"/>
    <row r="30" ht="22" customHeight="1"/>
    <row r="31" ht="22" customHeight="1"/>
    <row r="32" ht="22" customHeight="1">
      <c r="A32" s="5" t="inlineStr">
        <is>
          <t>D. Incoterms Control</t>
        </is>
      </c>
    </row>
    <row r="33" ht="22" customHeight="1">
      <c r="A33" s="3" t="inlineStr">
        <is>
          <t>Commodity</t>
        </is>
      </c>
      <c r="B33" s="3" t="inlineStr">
        <is>
          <t>Purchase Incoterm</t>
        </is>
      </c>
      <c r="C33" s="3" t="inlineStr">
        <is>
          <t>Sales Incoterm</t>
        </is>
      </c>
      <c r="D33" s="3" t="inlineStr">
        <is>
          <t>Include Inland</t>
        </is>
      </c>
      <c r="E33" s="3" t="inlineStr">
        <is>
          <t>Include Port/Customs</t>
        </is>
      </c>
      <c r="F33" s="3" t="inlineStr">
        <is>
          <t>Include Ocean</t>
        </is>
      </c>
      <c r="G33" s="3" t="inlineStr">
        <is>
          <t>Include Insurance</t>
        </is>
      </c>
      <c r="H33" s="3" t="inlineStr">
        <is>
          <t>Include Export Duty</t>
        </is>
      </c>
      <c r="I33" s="3" t="inlineStr">
        <is>
          <t>Scope Factor</t>
        </is>
      </c>
      <c r="J33" s="3" t="inlineStr">
        <is>
          <t>Calculation Rule</t>
        </is>
      </c>
      <c r="K33" s="3" t="inlineStr">
        <is>
          <t>Risk Note</t>
        </is>
      </c>
      <c r="L33" s="3" t="inlineStr">
        <is>
          <t>Owner</t>
        </is>
      </c>
    </row>
    <row r="34" ht="22" customHeight="1">
      <c r="A34" s="4" t="inlineStr">
        <is>
          <t>Sb</t>
        </is>
      </c>
      <c r="B34" s="7" t="inlineStr">
        <is>
          <t>EXW</t>
        </is>
      </c>
      <c r="C34" s="7" t="inlineStr">
        <is>
          <t>CIF</t>
        </is>
      </c>
      <c r="D34" s="11">
        <f>IF(B34="EXW","Yes","No")</f>
        <v/>
      </c>
      <c r="E34" s="11">
        <f>IF(B34="EXW","Yes","No")</f>
        <v/>
      </c>
      <c r="F34" s="11">
        <f>IF(OR(C34="CFR",C34="CIF"),"Yes","No")</f>
        <v/>
      </c>
      <c r="G34" s="11">
        <f>IF(AND(OR(C34="CFR",C34="CIF"),B34="EXW"),"Yes","No")</f>
        <v/>
      </c>
      <c r="H34" s="12">
        <f>IF(B34="EXW","Yes","No")</f>
        <v/>
      </c>
      <c r="I34" s="11">
        <f>IF(B34="EXW",1,0.35)</f>
        <v/>
      </c>
      <c r="J34" s="11">
        <f>B34&amp;" purchase / "&amp;C34&amp;" sale: cost scope auto-applied in 03_Logistics_Cost"</f>
        <v/>
      </c>
      <c r="K34" s="4" t="inlineStr">
        <is>
          <t>Confirm whether FOB includes port/customs</t>
        </is>
      </c>
      <c r="L34" s="4" t="inlineStr">
        <is>
          <t>Operations</t>
        </is>
      </c>
    </row>
    <row r="35" ht="22" customHeight="1">
      <c r="A35" s="4" t="inlineStr">
        <is>
          <t>WO3</t>
        </is>
      </c>
      <c r="B35" s="7" t="inlineStr">
        <is>
          <t>EXW</t>
        </is>
      </c>
      <c r="C35" s="7" t="inlineStr">
        <is>
          <t>CIF</t>
        </is>
      </c>
      <c r="D35" s="11">
        <f>IF(B35="EXW","Yes","No")</f>
        <v/>
      </c>
      <c r="E35" s="11">
        <f>IF(B35="EXW","Yes","No")</f>
        <v/>
      </c>
      <c r="F35" s="11">
        <f>IF(OR(C35="CFR",C35="CIF"),"Yes","No")</f>
        <v/>
      </c>
      <c r="G35" s="11">
        <f>IF(AND(OR(C35="CFR",C35="CIF"),B35="EXW"),"Yes","No")</f>
        <v/>
      </c>
      <c r="H35" s="12">
        <f>IF(B35="EXW","Yes","No")</f>
        <v/>
      </c>
      <c r="I35" s="11">
        <f>IF(B35="EXW",1,0.35)</f>
        <v/>
      </c>
      <c r="J35" s="11">
        <f>B35&amp;" purchase / "&amp;C35&amp;" sale: cost scope auto-applied in 03_Logistics_Cost"</f>
        <v/>
      </c>
      <c r="K35" s="4" t="inlineStr">
        <is>
          <t>3TG chain-of-custody documents required</t>
        </is>
      </c>
      <c r="L35" s="4" t="inlineStr">
        <is>
          <t>Operations</t>
        </is>
      </c>
    </row>
    <row r="36" ht="22" customHeight="1">
      <c r="A36" s="4" t="inlineStr">
        <is>
          <t>Li2O</t>
        </is>
      </c>
      <c r="B36" s="7" t="inlineStr">
        <is>
          <t>EXW</t>
        </is>
      </c>
      <c r="C36" s="7" t="inlineStr">
        <is>
          <t>CIF</t>
        </is>
      </c>
      <c r="D36" s="11">
        <f>IF(B36="EXW","Yes","No")</f>
        <v/>
      </c>
      <c r="E36" s="11">
        <f>IF(B36="EXW","Yes","No")</f>
        <v/>
      </c>
      <c r="F36" s="11">
        <f>IF(OR(C36="CFR",C36="CIF"),"Yes","No")</f>
        <v/>
      </c>
      <c r="G36" s="11">
        <f>IF(AND(OR(C36="CFR",C36="CIF"),B36="EXW"),"Yes","No")</f>
        <v/>
      </c>
      <c r="H36" s="12">
        <f>IF(B36="EXW","Yes","No")</f>
        <v/>
      </c>
      <c r="I36" s="11">
        <f>IF(B36="EXW",1,0.35)</f>
        <v/>
      </c>
      <c r="J36" s="11">
        <f>B36&amp;" purchase / "&amp;C36&amp;" sale: cost scope auto-applied in 03_Logistics_Cost"</f>
        <v/>
      </c>
      <c r="K36" s="4" t="inlineStr">
        <is>
          <t>Adjust if sale is FOB China or CIF China</t>
        </is>
      </c>
      <c r="L36" s="4" t="inlineStr">
        <is>
          <t>Operations</t>
        </is>
      </c>
    </row>
    <row r="37" ht="22" customHeight="1">
      <c r="A37" s="4" t="inlineStr">
        <is>
          <t>Cu</t>
        </is>
      </c>
      <c r="B37" s="7" t="inlineStr">
        <is>
          <t>EXW</t>
        </is>
      </c>
      <c r="C37" s="7" t="inlineStr">
        <is>
          <t>CIF</t>
        </is>
      </c>
      <c r="D37" s="11">
        <f>IF(B37="EXW","Yes","No")</f>
        <v/>
      </c>
      <c r="E37" s="11">
        <f>IF(B37="EXW","Yes","No")</f>
        <v/>
      </c>
      <c r="F37" s="11">
        <f>IF(OR(C37="CFR",C37="CIF"),"Yes","No")</f>
        <v/>
      </c>
      <c r="G37" s="11">
        <f>IF(AND(OR(C37="CFR",C37="CIF"),B37="EXW"),"Yes","No")</f>
        <v/>
      </c>
      <c r="H37" s="12">
        <f>IF(B37="EXW","Yes","No")</f>
        <v/>
      </c>
      <c r="I37" s="11">
        <f>IF(B37="EXW",1,0.35)</f>
        <v/>
      </c>
      <c r="J37" s="11">
        <f>B37&amp;" purchase / "&amp;C37&amp;" sale: cost scope auto-applied in 03_Logistics_Cost"</f>
        <v/>
      </c>
      <c r="K37" s="4" t="inlineStr">
        <is>
          <t>Avoid double counting CFR/CIF costs</t>
        </is>
      </c>
      <c r="L37" s="4" t="inlineStr">
        <is>
          <t>Operations</t>
        </is>
      </c>
    </row>
  </sheetData>
  <mergeCells count="6">
    <mergeCell ref="A15:AB15"/>
    <mergeCell ref="A4:E4"/>
    <mergeCell ref="A23:L23"/>
    <mergeCell ref="A2:AA2"/>
    <mergeCell ref="A32:L32"/>
    <mergeCell ref="A1:AA1"/>
  </mergeCells>
  <dataValidations count="2">
    <dataValidation sqref="B34 B35 B36 B37" showDropDown="0" showInputMessage="0" showErrorMessage="0" allowBlank="0" type="list">
      <formula1>"EXW,FOB"</formula1>
    </dataValidation>
    <dataValidation sqref="C34 C35 C36 C37" showDropDown="0" showInputMessage="0" showErrorMessage="0" allowBlank="0" type="list">
      <formula1>"FOB,CFR,CIF"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28" customWidth="1" min="3" max="3"/>
    <col width="14" customWidth="1" min="4" max="4"/>
    <col width="20" customWidth="1" min="5" max="5"/>
    <col width="14" customWidth="1" min="6" max="6"/>
    <col width="32" customWidth="1" min="7" max="7"/>
    <col width="14" customWidth="1" min="8" max="8"/>
    <col width="20" customWidth="1" min="9" max="9"/>
    <col width="14" customWidth="1" min="10" max="10"/>
    <col width="42" customWidth="1" min="11" max="11"/>
  </cols>
  <sheetData>
    <row r="1" ht="22" customHeight="1">
      <c r="A1" s="1" t="inlineStr">
        <is>
          <t>02 Market Index</t>
        </is>
      </c>
    </row>
    <row r="2" ht="22" customHeight="1">
      <c r="A2" s="2" t="inlineStr">
        <is>
          <t>Benchmark source, date, unit, pricing method, and formula notes</t>
        </is>
      </c>
    </row>
    <row r="3" ht="22" customHeight="1"/>
    <row r="4" ht="22" customHeight="1">
      <c r="A4" s="5" t="inlineStr">
        <is>
          <t>A. Market Benchmarks</t>
        </is>
      </c>
    </row>
    <row r="5" ht="22" customHeight="1">
      <c r="A5" s="3" t="inlineStr">
        <is>
          <t>Commodity</t>
        </is>
      </c>
      <c r="B5" s="3" t="inlineStr">
        <is>
          <t>Formula Type</t>
        </is>
      </c>
      <c r="C5" s="3" t="inlineStr">
        <is>
          <t>International Source</t>
        </is>
      </c>
      <c r="D5" s="3" t="inlineStr">
        <is>
          <t>Intl Date</t>
        </is>
      </c>
      <c r="E5" s="3" t="inlineStr">
        <is>
          <t>Intl Unit</t>
        </is>
      </c>
      <c r="F5" s="3" t="inlineStr">
        <is>
          <t>Intl Price</t>
        </is>
      </c>
      <c r="G5" s="3" t="inlineStr">
        <is>
          <t>Domestic Source</t>
        </is>
      </c>
      <c r="H5" s="3" t="inlineStr">
        <is>
          <t>Dom Date</t>
        </is>
      </c>
      <c r="I5" s="3" t="inlineStr">
        <is>
          <t>Dom Unit</t>
        </is>
      </c>
      <c r="J5" s="3" t="inlineStr">
        <is>
          <t>Dom Price</t>
        </is>
      </c>
      <c r="K5" s="3" t="inlineStr">
        <is>
          <t>Settlement Note</t>
        </is>
      </c>
    </row>
    <row r="6" ht="22" customHeight="1">
      <c r="A6" s="4" t="inlineStr">
        <is>
          <t>Sb</t>
        </is>
      </c>
      <c r="B6" s="4" t="inlineStr">
        <is>
          <t>METAL</t>
        </is>
      </c>
      <c r="C6" s="7" t="inlineStr">
        <is>
          <t>Fastmarkets</t>
        </is>
      </c>
      <c r="D6" s="7" t="inlineStr">
        <is>
          <t>2026-07-06</t>
        </is>
      </c>
      <c r="E6" s="4" t="inlineStr">
        <is>
          <t>USD/metal ton</t>
        </is>
      </c>
      <c r="F6" s="6" t="n">
        <v>55000</v>
      </c>
      <c r="G6" s="7" t="inlineStr">
        <is>
          <t>SMM</t>
        </is>
      </c>
      <c r="H6" s="7" t="inlineStr">
        <is>
          <t>2026-07-06</t>
        </is>
      </c>
      <c r="I6" s="4" t="inlineStr">
        <is>
          <t>RMB/metal ton</t>
        </is>
      </c>
      <c r="J6" s="6" t="n">
        <v>395000</v>
      </c>
      <c r="K6" s="4" t="inlineStr">
        <is>
          <t>Trader must update source/date before formal offer</t>
        </is>
      </c>
    </row>
    <row r="7" ht="22" customHeight="1">
      <c r="A7" s="4" t="inlineStr">
        <is>
          <t>WO3</t>
        </is>
      </c>
      <c r="B7" s="4" t="inlineStr">
        <is>
          <t>MTU</t>
        </is>
      </c>
      <c r="C7" s="7" t="inlineStr">
        <is>
          <t>Fastmarkets APT</t>
        </is>
      </c>
      <c r="D7" s="7" t="inlineStr">
        <is>
          <t>2026-07-06</t>
        </is>
      </c>
      <c r="E7" s="4" t="inlineStr">
        <is>
          <t>USD/MTU</t>
        </is>
      </c>
      <c r="F7" s="6" t="n">
        <v>3000</v>
      </c>
      <c r="G7" s="7" t="inlineStr">
        <is>
          <t>China tungsten concentrate reference</t>
        </is>
      </c>
      <c r="H7" s="7" t="inlineStr">
        <is>
          <t>2026-07-06</t>
        </is>
      </c>
      <c r="I7" s="4" t="inlineStr">
        <is>
          <t>RMB/MTU</t>
        </is>
      </c>
      <c r="J7" s="6" t="n">
        <v>7246.15</v>
      </c>
      <c r="K7" s="4" t="inlineStr">
        <is>
          <t>Trader must update source/date before formal offer</t>
        </is>
      </c>
    </row>
    <row r="8" ht="22" customHeight="1">
      <c r="A8" s="4" t="inlineStr">
        <is>
          <t>Li2O</t>
        </is>
      </c>
      <c r="B8" s="4" t="inlineStr">
        <is>
          <t>GRADE6</t>
        </is>
      </c>
      <c r="C8" s="7" t="inlineStr">
        <is>
          <t>Fastmarkets lithium concentrate</t>
        </is>
      </c>
      <c r="D8" s="7" t="inlineStr">
        <is>
          <t>2026-07-06</t>
        </is>
      </c>
      <c r="E8" s="4" t="inlineStr">
        <is>
          <t>USD/DMT 6% Li2O</t>
        </is>
      </c>
      <c r="F8" s="6" t="n">
        <v>1500</v>
      </c>
      <c r="G8" s="7" t="inlineStr">
        <is>
          <t>SMM lithium concentrate</t>
        </is>
      </c>
      <c r="H8" s="7" t="inlineStr">
        <is>
          <t>2026-07-06</t>
        </is>
      </c>
      <c r="I8" s="4" t="inlineStr">
        <is>
          <t>RMB/DMT 6% Li2O</t>
        </is>
      </c>
      <c r="J8" s="6" t="n">
        <v>10800</v>
      </c>
      <c r="K8" s="4" t="inlineStr">
        <is>
          <t>Trader must update source/date before formal offer</t>
        </is>
      </c>
    </row>
    <row r="9" ht="22" customHeight="1">
      <c r="A9" s="4" t="inlineStr">
        <is>
          <t>Cu</t>
        </is>
      </c>
      <c r="B9" s="4" t="inlineStr">
        <is>
          <t>METAL</t>
        </is>
      </c>
      <c r="C9" s="7" t="inlineStr">
        <is>
          <t>LME Copper</t>
        </is>
      </c>
      <c r="D9" s="7" t="inlineStr">
        <is>
          <t>2026-07-06</t>
        </is>
      </c>
      <c r="E9" s="4" t="inlineStr">
        <is>
          <t>USD/metal ton</t>
        </is>
      </c>
      <c r="F9" s="6" t="n">
        <v>8500</v>
      </c>
      <c r="G9" s="7" t="inlineStr">
        <is>
          <t>SMM Copper</t>
        </is>
      </c>
      <c r="H9" s="7" t="inlineStr">
        <is>
          <t>2026-07-06</t>
        </is>
      </c>
      <c r="I9" s="4" t="inlineStr">
        <is>
          <t>RMB/metal ton</t>
        </is>
      </c>
      <c r="J9" s="6" t="n">
        <v>61200</v>
      </c>
      <c r="K9" s="4" t="inlineStr">
        <is>
          <t>Trader must update source/date before formal offer</t>
        </is>
      </c>
    </row>
    <row r="10" ht="22" customHeight="1"/>
    <row r="11" ht="22" customHeight="1"/>
    <row r="12" ht="22" customHeight="1">
      <c r="A12" s="5" t="inlineStr">
        <is>
          <t>B. Index Library</t>
        </is>
      </c>
    </row>
    <row r="13" ht="22" customHeight="1">
      <c r="A13" s="3" t="inlineStr">
        <is>
          <t>Commodity</t>
        </is>
      </c>
      <c r="B13" s="3" t="inlineStr">
        <is>
          <t>Index Name</t>
        </is>
      </c>
      <c r="C13" s="3" t="inlineStr">
        <is>
          <t>Currency</t>
        </is>
      </c>
      <c r="D13" s="3" t="inlineStr">
        <is>
          <t>Base Price</t>
        </is>
      </c>
      <c r="E13" s="3" t="inlineStr">
        <is>
          <t>Unit</t>
        </is>
      </c>
      <c r="F13" s="3" t="inlineStr">
        <is>
          <t>Source</t>
        </is>
      </c>
      <c r="G13" s="3" t="inlineStr">
        <is>
          <t>Formula Type</t>
        </is>
      </c>
      <c r="H13" s="3" t="inlineStr">
        <is>
          <t>Quote Rule</t>
        </is>
      </c>
      <c r="I13" s="3" t="inlineStr">
        <is>
          <t>Date</t>
        </is>
      </c>
      <c r="J13" s="3" t="inlineStr">
        <is>
          <t>Domestic Index</t>
        </is>
      </c>
      <c r="K13" s="3" t="inlineStr">
        <is>
          <t>Domestic Price</t>
        </is>
      </c>
    </row>
    <row r="14" ht="22" customHeight="1">
      <c r="A14" s="4" t="inlineStr">
        <is>
          <t>Sb</t>
        </is>
      </c>
      <c r="B14" s="4" t="inlineStr">
        <is>
          <t>Fastmarkets</t>
        </is>
      </c>
      <c r="C14" s="4" t="inlineStr">
        <is>
          <t>USD</t>
        </is>
      </c>
      <c r="D14" s="12">
        <f>F6</f>
        <v/>
      </c>
      <c r="E14" s="4" t="inlineStr">
        <is>
          <t>USD/metal ton</t>
        </is>
      </c>
      <c r="F14" s="4" t="inlineStr">
        <is>
          <t>Fastmarkets</t>
        </is>
      </c>
      <c r="G14" s="4" t="inlineStr">
        <is>
          <t>METAL</t>
        </is>
      </c>
      <c r="H14" s="4" t="inlineStr">
        <is>
          <t>See methodology below</t>
        </is>
      </c>
      <c r="I14" s="12">
        <f>D6</f>
        <v/>
      </c>
      <c r="J14" s="4" t="inlineStr">
        <is>
          <t>SMM</t>
        </is>
      </c>
      <c r="K14" s="12">
        <f>J6</f>
        <v/>
      </c>
    </row>
    <row r="15" ht="22" customHeight="1">
      <c r="A15" s="4" t="inlineStr">
        <is>
          <t>WO3</t>
        </is>
      </c>
      <c r="B15" s="4" t="inlineStr">
        <is>
          <t>Fastmarkets APT</t>
        </is>
      </c>
      <c r="C15" s="4" t="inlineStr">
        <is>
          <t>USD</t>
        </is>
      </c>
      <c r="D15" s="12">
        <f>F7</f>
        <v/>
      </c>
      <c r="E15" s="4" t="inlineStr">
        <is>
          <t>USD/MTU</t>
        </is>
      </c>
      <c r="F15" s="4" t="inlineStr">
        <is>
          <t>Fastmarkets APT</t>
        </is>
      </c>
      <c r="G15" s="4" t="inlineStr">
        <is>
          <t>MTU</t>
        </is>
      </c>
      <c r="H15" s="4" t="inlineStr">
        <is>
          <t>See methodology below</t>
        </is>
      </c>
      <c r="I15" s="12">
        <f>D7</f>
        <v/>
      </c>
      <c r="J15" s="4" t="inlineStr">
        <is>
          <t>China tungsten concentrate reference</t>
        </is>
      </c>
      <c r="K15" s="12">
        <f>J7</f>
        <v/>
      </c>
    </row>
    <row r="16" ht="22" customHeight="1">
      <c r="A16" s="4" t="inlineStr">
        <is>
          <t>Li2O</t>
        </is>
      </c>
      <c r="B16" s="4" t="inlineStr">
        <is>
          <t>Fastmarkets lithium concentrate</t>
        </is>
      </c>
      <c r="C16" s="4" t="inlineStr">
        <is>
          <t>USD</t>
        </is>
      </c>
      <c r="D16" s="12">
        <f>F8</f>
        <v/>
      </c>
      <c r="E16" s="4" t="inlineStr">
        <is>
          <t>USD/DMT 6% Li2O</t>
        </is>
      </c>
      <c r="F16" s="4" t="inlineStr">
        <is>
          <t>Fastmarkets lithium concentrate</t>
        </is>
      </c>
      <c r="G16" s="4" t="inlineStr">
        <is>
          <t>GRADE6</t>
        </is>
      </c>
      <c r="H16" s="4" t="inlineStr">
        <is>
          <t>See methodology below</t>
        </is>
      </c>
      <c r="I16" s="12">
        <f>D8</f>
        <v/>
      </c>
      <c r="J16" s="4" t="inlineStr">
        <is>
          <t>SMM lithium concentrate</t>
        </is>
      </c>
      <c r="K16" s="12">
        <f>J8</f>
        <v/>
      </c>
    </row>
    <row r="17" ht="22" customHeight="1">
      <c r="A17" s="4" t="inlineStr">
        <is>
          <t>Cu</t>
        </is>
      </c>
      <c r="B17" s="4" t="inlineStr">
        <is>
          <t>LME Copper</t>
        </is>
      </c>
      <c r="C17" s="4" t="inlineStr">
        <is>
          <t>USD</t>
        </is>
      </c>
      <c r="D17" s="12">
        <f>F9</f>
        <v/>
      </c>
      <c r="E17" s="4" t="inlineStr">
        <is>
          <t>USD/metal ton</t>
        </is>
      </c>
      <c r="F17" s="4" t="inlineStr">
        <is>
          <t>LME Copper</t>
        </is>
      </c>
      <c r="G17" s="4" t="inlineStr">
        <is>
          <t>METAL</t>
        </is>
      </c>
      <c r="H17" s="4" t="inlineStr">
        <is>
          <t>See methodology below</t>
        </is>
      </c>
      <c r="I17" s="12">
        <f>D9</f>
        <v/>
      </c>
      <c r="J17" s="4" t="inlineStr">
        <is>
          <t>SMM Copper</t>
        </is>
      </c>
      <c r="K17" s="12">
        <f>J9</f>
        <v/>
      </c>
    </row>
    <row r="18" ht="22" customHeight="1"/>
    <row r="19" ht="22" customHeight="1"/>
    <row r="20" ht="22" customHeight="1">
      <c r="A20" s="5" t="inlineStr">
        <is>
          <t>C. Pricing Methodology</t>
        </is>
      </c>
    </row>
    <row r="21" ht="22" customHeight="1">
      <c r="A21" s="3" t="inlineStr">
        <is>
          <t>Commodity</t>
        </is>
      </c>
      <c r="B21" s="3" t="inlineStr">
        <is>
          <t>Formula Type</t>
        </is>
      </c>
      <c r="C21" s="3" t="inlineStr">
        <is>
          <t>International Formula</t>
        </is>
      </c>
      <c r="D21" s="3" t="inlineStr">
        <is>
          <t>Domestic Formula</t>
        </is>
      </c>
      <c r="E21" s="3" t="inlineStr">
        <is>
          <t>Purchase Cost Formula</t>
        </is>
      </c>
      <c r="F21" s="3" t="inlineStr">
        <is>
          <t>EXW/FOB Rule</t>
        </is>
      </c>
      <c r="G21" s="3" t="inlineStr">
        <is>
          <t>Unit Note</t>
        </is>
      </c>
      <c r="H21" s="3" t="inlineStr">
        <is>
          <t>Control</t>
        </is>
      </c>
    </row>
    <row r="22" ht="22" customHeight="1">
      <c r="A22" s="4" t="inlineStr">
        <is>
          <t>Sb</t>
        </is>
      </c>
      <c r="B22" s="4" t="inlineStr">
        <is>
          <t>METAL</t>
        </is>
      </c>
      <c r="C22" s="4" t="inlineStr">
        <is>
          <t>Grade x metal price x payability - TC</t>
        </is>
      </c>
      <c r="D22" s="4" t="inlineStr">
        <is>
          <t>Grade x metal price x payability - TC</t>
        </is>
      </c>
      <c r="E22" s="4" t="inlineStr">
        <is>
          <t>DMT x Purchase USD/DMT</t>
        </is>
      </c>
      <c r="F22" s="4" t="inlineStr">
        <is>
          <t>FOB zeroes inland/rail/customs/fixed/export duty</t>
        </is>
      </c>
      <c r="G22" s="4" t="inlineStr">
        <is>
          <t>USD/metal ton</t>
        </is>
      </c>
      <c r="H22" s="4" t="inlineStr">
        <is>
          <t>Active</t>
        </is>
      </c>
    </row>
    <row r="23" ht="22" customHeight="1">
      <c r="A23" s="4" t="inlineStr">
        <is>
          <t>WO3</t>
        </is>
      </c>
      <c r="B23" s="4" t="inlineStr">
        <is>
          <t>MTU</t>
        </is>
      </c>
      <c r="C23" s="4" t="inlineStr">
        <is>
          <t>Grade x 100 x MTU price x payability - TC</t>
        </is>
      </c>
      <c r="D23" s="4" t="inlineStr">
        <is>
          <t>Grade x 100 x MTU price x payability - TC</t>
        </is>
      </c>
      <c r="E23" s="4" t="inlineStr">
        <is>
          <t>DMT x Grade x 100 x Purchase USD/MTU</t>
        </is>
      </c>
      <c r="F23" s="4" t="inlineStr">
        <is>
          <t>FOB zeroes inland/rail/customs/fixed/export duty</t>
        </is>
      </c>
      <c r="G23" s="4" t="inlineStr">
        <is>
          <t>USD/MTU</t>
        </is>
      </c>
      <c r="H23" s="4" t="inlineStr">
        <is>
          <t>Active</t>
        </is>
      </c>
    </row>
    <row r="24" ht="22" customHeight="1">
      <c r="A24" s="4" t="inlineStr">
        <is>
          <t>Li2O</t>
        </is>
      </c>
      <c r="B24" s="4" t="inlineStr">
        <is>
          <t>GRADE6</t>
        </is>
      </c>
      <c r="C24" s="4" t="inlineStr">
        <is>
          <t>Price x grade / 6% x payability - TC</t>
        </is>
      </c>
      <c r="D24" s="4" t="inlineStr">
        <is>
          <t>Price x grade / 6% x payability - TC</t>
        </is>
      </c>
      <c r="E24" s="4" t="inlineStr">
        <is>
          <t>DMT x Purchase USD/DMT</t>
        </is>
      </c>
      <c r="F24" s="4" t="inlineStr">
        <is>
          <t>FOB zeroes inland/rail/customs/fixed/export duty</t>
        </is>
      </c>
      <c r="G24" s="4" t="inlineStr">
        <is>
          <t>USD/DMT 6% Li2O</t>
        </is>
      </c>
      <c r="H24" s="4" t="inlineStr">
        <is>
          <t>Active</t>
        </is>
      </c>
    </row>
    <row r="25" ht="22" customHeight="1">
      <c r="A25" s="4" t="inlineStr">
        <is>
          <t>Cu</t>
        </is>
      </c>
      <c r="B25" s="4" t="inlineStr">
        <is>
          <t>METAL</t>
        </is>
      </c>
      <c r="C25" s="4" t="inlineStr">
        <is>
          <t>Grade x metal price x payability - TC</t>
        </is>
      </c>
      <c r="D25" s="4" t="inlineStr">
        <is>
          <t>Grade x metal price x payability - TC</t>
        </is>
      </c>
      <c r="E25" s="4" t="inlineStr">
        <is>
          <t>DMT x Purchase USD/DMT</t>
        </is>
      </c>
      <c r="F25" s="4" t="inlineStr">
        <is>
          <t>FOB zeroes inland/rail/customs/fixed/export duty</t>
        </is>
      </c>
      <c r="G25" s="4" t="inlineStr">
        <is>
          <t>USD/metal ton</t>
        </is>
      </c>
      <c r="H25" s="4" t="inlineStr">
        <is>
          <t>Active</t>
        </is>
      </c>
    </row>
  </sheetData>
  <mergeCells count="5">
    <mergeCell ref="A12:K12"/>
    <mergeCell ref="A4:K4"/>
    <mergeCell ref="A20:H20"/>
    <mergeCell ref="A2:K2"/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6" customWidth="1" min="17" max="17"/>
    <col width="18" customWidth="1" min="18" max="18"/>
  </cols>
  <sheetData>
    <row r="1" ht="22" customHeight="1">
      <c r="A1" s="1" t="inlineStr">
        <is>
          <t>03 Logistics Cost</t>
        </is>
      </c>
    </row>
    <row r="2" ht="22" customHeight="1">
      <c r="A2" s="2" t="inlineStr">
        <is>
          <t>Common route costs and EXW/FOB-aware effective cost calculation</t>
        </is>
      </c>
    </row>
    <row r="3" ht="22" customHeight="1"/>
    <row r="4" ht="22" customHeight="1">
      <c r="A4" s="5" t="inlineStr">
        <is>
          <t>A. Common Logistics Cost Library</t>
        </is>
      </c>
    </row>
    <row r="5" ht="22" customHeight="1">
      <c r="A5" s="3" t="inlineStr">
        <is>
          <t>Cost Item</t>
        </is>
      </c>
      <c r="B5" s="3" t="inlineStr">
        <is>
          <t>Stage</t>
        </is>
      </c>
      <c r="C5" s="3" t="inlineStr">
        <is>
          <t>Basis</t>
        </is>
      </c>
      <c r="D5" s="3" t="inlineStr">
        <is>
          <t>USD/WMT</t>
        </is>
      </c>
      <c r="E5" s="3" t="inlineStr">
        <is>
          <t>USD/DMT</t>
        </is>
      </c>
      <c r="F5" s="3" t="inlineStr">
        <is>
          <t>Fixed USD/lot</t>
        </is>
      </c>
      <c r="G5" s="3" t="inlineStr">
        <is>
          <t>% Value</t>
        </is>
      </c>
      <c r="H5" s="3" t="inlineStr">
        <is>
          <t>% Cost</t>
        </is>
      </c>
      <c r="I5" s="3" t="inlineStr">
        <is>
          <t>Enabled</t>
        </is>
      </c>
      <c r="J5" s="3" t="inlineStr">
        <is>
          <t>Note</t>
        </is>
      </c>
    </row>
    <row r="6" ht="22" customHeight="1">
      <c r="A6" s="4" t="inlineStr">
        <is>
          <t>Mine/Warehouse to N'Djamena</t>
        </is>
      </c>
      <c r="B6" s="4" t="inlineStr">
        <is>
          <t>Chad Inland</t>
        </is>
      </c>
      <c r="C6" s="4" t="inlineStr">
        <is>
          <t>Per WMT</t>
        </is>
      </c>
      <c r="D6" s="6" t="n">
        <v>80</v>
      </c>
      <c r="E6" s="6" t="n">
        <v>0</v>
      </c>
      <c r="F6" s="6" t="n">
        <v>0</v>
      </c>
      <c r="G6" s="9" t="n">
        <v>0</v>
      </c>
      <c r="H6" s="9" t="n">
        <v>0</v>
      </c>
      <c r="I6" s="7" t="inlineStr">
        <is>
          <t>Yes</t>
        </is>
      </c>
      <c r="J6" s="4" t="inlineStr">
        <is>
          <t>按实际路线调整</t>
        </is>
      </c>
    </row>
    <row r="7" ht="22" customHeight="1">
      <c r="A7" s="4" t="inlineStr">
        <is>
          <t>N'Djamena to Cameroon Border</t>
        </is>
      </c>
      <c r="B7" s="4" t="inlineStr">
        <is>
          <t>Chad Inland</t>
        </is>
      </c>
      <c r="C7" s="4" t="inlineStr">
        <is>
          <t>Per WMT</t>
        </is>
      </c>
      <c r="D7" s="6" t="n">
        <v>120</v>
      </c>
      <c r="E7" s="6" t="n">
        <v>0</v>
      </c>
      <c r="F7" s="6" t="n">
        <v>0</v>
      </c>
      <c r="G7" s="9" t="n">
        <v>0</v>
      </c>
      <c r="H7" s="9" t="n">
        <v>0</v>
      </c>
      <c r="I7" s="7" t="inlineStr">
        <is>
          <t>Yes</t>
        </is>
      </c>
      <c r="J7" s="4" t="inlineStr">
        <is>
          <t>道路、燃油、卡车</t>
        </is>
      </c>
    </row>
    <row r="8" ht="22" customHeight="1">
      <c r="A8" s="4" t="inlineStr">
        <is>
          <t>Cameroon Transit to Douala</t>
        </is>
      </c>
      <c r="B8" s="4" t="inlineStr">
        <is>
          <t>Cameroon Inland</t>
        </is>
      </c>
      <c r="C8" s="4" t="inlineStr">
        <is>
          <t>Per WMT</t>
        </is>
      </c>
      <c r="D8" s="6" t="n">
        <v>95</v>
      </c>
      <c r="E8" s="6" t="n">
        <v>0</v>
      </c>
      <c r="F8" s="6" t="n">
        <v>0</v>
      </c>
      <c r="G8" s="9" t="n">
        <v>0</v>
      </c>
      <c r="H8" s="9" t="n">
        <v>0</v>
      </c>
      <c r="I8" s="7" t="inlineStr">
        <is>
          <t>Yes</t>
        </is>
      </c>
      <c r="J8" s="4" t="inlineStr">
        <is>
          <t>内陆国过境成本</t>
        </is>
      </c>
    </row>
    <row r="9" ht="22" customHeight="1">
      <c r="A9" s="4" t="inlineStr">
        <is>
          <t>Security / Escort / Local Handling</t>
        </is>
      </c>
      <c r="B9" s="4" t="inlineStr">
        <is>
          <t>Security</t>
        </is>
      </c>
      <c r="C9" s="4" t="inlineStr">
        <is>
          <t>Per WMT</t>
        </is>
      </c>
      <c r="D9" s="6" t="n">
        <v>25</v>
      </c>
      <c r="E9" s="6" t="n">
        <v>0</v>
      </c>
      <c r="F9" s="6" t="n">
        <v>0</v>
      </c>
      <c r="G9" s="9" t="n">
        <v>0</v>
      </c>
      <c r="H9" s="9" t="n">
        <v>0</v>
      </c>
      <c r="I9" s="7" t="inlineStr">
        <is>
          <t>Yes</t>
        </is>
      </c>
      <c r="J9" s="4" t="inlineStr">
        <is>
          <t>高风险区域建议单列</t>
        </is>
      </c>
    </row>
    <row r="10" ht="22" customHeight="1">
      <c r="A10" s="4" t="inlineStr">
        <is>
          <t>Douala Port THC / CFS / Loading</t>
        </is>
      </c>
      <c r="B10" s="4" t="inlineStr">
        <is>
          <t>Port</t>
        </is>
      </c>
      <c r="C10" s="4" t="inlineStr">
        <is>
          <t>Per DMT</t>
        </is>
      </c>
      <c r="D10" s="6" t="n">
        <v>0</v>
      </c>
      <c r="E10" s="6" t="n">
        <v>35</v>
      </c>
      <c r="F10" s="6" t="n">
        <v>0</v>
      </c>
      <c r="G10" s="9" t="n">
        <v>0</v>
      </c>
      <c r="H10" s="9" t="n">
        <v>0</v>
      </c>
      <c r="I10" s="7" t="inlineStr">
        <is>
          <t>Yes</t>
        </is>
      </c>
      <c r="J10" s="4" t="inlineStr">
        <is>
          <t>港杂、装箱、吊装</t>
        </is>
      </c>
    </row>
    <row r="11" ht="22" customHeight="1">
      <c r="A11" s="4" t="inlineStr">
        <is>
          <t>Chad Export Customs &amp; Docs</t>
        </is>
      </c>
      <c r="B11" s="4" t="inlineStr">
        <is>
          <t>Customs</t>
        </is>
      </c>
      <c r="C11" s="4" t="inlineStr">
        <is>
          <t>Fixed</t>
        </is>
      </c>
      <c r="D11" s="6" t="n">
        <v>0</v>
      </c>
      <c r="E11" s="6" t="n">
        <v>0</v>
      </c>
      <c r="F11" s="6" t="n">
        <v>800</v>
      </c>
      <c r="G11" s="9" t="n">
        <v>0</v>
      </c>
      <c r="H11" s="9" t="n">
        <v>0</v>
      </c>
      <c r="I11" s="7" t="inlineStr">
        <is>
          <t>Yes</t>
        </is>
      </c>
      <c r="J11" s="4" t="inlineStr">
        <is>
          <t>出口许可、CO、商业发票</t>
        </is>
      </c>
    </row>
    <row r="12" ht="22" customHeight="1">
      <c r="A12" s="4" t="inlineStr">
        <is>
          <t>Inspection / Assay</t>
        </is>
      </c>
      <c r="B12" s="4" t="inlineStr">
        <is>
          <t>Quality</t>
        </is>
      </c>
      <c r="C12" s="4" t="inlineStr">
        <is>
          <t>Fixed</t>
        </is>
      </c>
      <c r="D12" s="6" t="n">
        <v>0</v>
      </c>
      <c r="E12" s="6" t="n">
        <v>0</v>
      </c>
      <c r="F12" s="6" t="n">
        <v>5200</v>
      </c>
      <c r="G12" s="9" t="n">
        <v>0</v>
      </c>
      <c r="H12" s="9" t="n">
        <v>0</v>
      </c>
      <c r="I12" s="7" t="inlineStr">
        <is>
          <t>Yes</t>
        </is>
      </c>
      <c r="J12" s="4" t="inlineStr">
        <is>
          <t>SGS/BV/ALS</t>
        </is>
      </c>
    </row>
    <row r="13" ht="22" customHeight="1">
      <c r="A13" s="4" t="inlineStr">
        <is>
          <t>Insurance + Bank</t>
        </is>
      </c>
      <c r="B13" s="4" t="inlineStr">
        <is>
          <t>Finance</t>
        </is>
      </c>
      <c r="C13" s="4" t="inlineStr">
        <is>
          <t>% Value</t>
        </is>
      </c>
      <c r="D13" s="6" t="n">
        <v>0</v>
      </c>
      <c r="E13" s="6" t="n">
        <v>0</v>
      </c>
      <c r="F13" s="6" t="n">
        <v>0</v>
      </c>
      <c r="G13" s="9" t="n">
        <v>0.008999999999999999</v>
      </c>
      <c r="H13" s="9" t="n">
        <v>0</v>
      </c>
      <c r="I13" s="7" t="inlineStr">
        <is>
          <t>Yes</t>
        </is>
      </c>
      <c r="J13" s="4" t="inlineStr">
        <is>
          <t>保险、银行、电汇等</t>
        </is>
      </c>
    </row>
    <row r="14" ht="22" customHeight="1">
      <c r="A14" s="4" t="inlineStr">
        <is>
          <t>Contingency</t>
        </is>
      </c>
      <c r="B14" s="4" t="inlineStr">
        <is>
          <t>Risk</t>
        </is>
      </c>
      <c r="C14" s="4" t="inlineStr">
        <is>
          <t>% Cost</t>
        </is>
      </c>
      <c r="D14" s="6" t="n">
        <v>0</v>
      </c>
      <c r="E14" s="6" t="n">
        <v>0</v>
      </c>
      <c r="F14" s="6" t="n">
        <v>0</v>
      </c>
      <c r="G14" s="9" t="n">
        <v>0</v>
      </c>
      <c r="H14" s="9" t="n">
        <v>0.05</v>
      </c>
      <c r="I14" s="7" t="inlineStr">
        <is>
          <t>Yes</t>
        </is>
      </c>
      <c r="J14" s="4" t="inlineStr">
        <is>
          <t>预备费</t>
        </is>
      </c>
    </row>
    <row r="15" ht="22" customHeight="1"/>
    <row r="16" ht="22" customHeight="1"/>
    <row r="17" ht="22" customHeight="1">
      <c r="A17" s="5" t="inlineStr">
        <is>
          <t>B. Commodity Logistics</t>
        </is>
      </c>
    </row>
    <row r="18" ht="22" customHeight="1">
      <c r="A18" s="3" t="inlineStr">
        <is>
          <t>Commodity</t>
        </is>
      </c>
      <c r="B18" s="3" t="inlineStr">
        <is>
          <t>Incoterm</t>
        </is>
      </c>
      <c r="C18" s="3" t="inlineStr">
        <is>
          <t>Trucking</t>
        </is>
      </c>
      <c r="D18" s="3" t="inlineStr">
        <is>
          <t>Rail</t>
        </is>
      </c>
      <c r="E18" s="3" t="inlineStr">
        <is>
          <t>Customs</t>
        </is>
      </c>
      <c r="F18" s="3" t="inlineStr">
        <is>
          <t>Fixed Inspection</t>
        </is>
      </c>
      <c r="G18" s="3" t="inlineStr">
        <is>
          <t>Ocean</t>
        </is>
      </c>
      <c r="H18" s="3" t="inlineStr">
        <is>
          <t>Export Duty</t>
        </is>
      </c>
      <c r="I18" s="3" t="inlineStr">
        <is>
          <t>Insurance+Bank</t>
        </is>
      </c>
      <c r="J18" s="3" t="inlineStr">
        <is>
          <t>Contingency</t>
        </is>
      </c>
      <c r="K18" s="3" t="inlineStr">
        <is>
          <t>TC/RC</t>
        </is>
      </c>
      <c r="L18" s="3" t="inlineStr">
        <is>
          <t>Effective Trucking</t>
        </is>
      </c>
      <c r="M18" s="3" t="inlineStr">
        <is>
          <t>Effective Rail</t>
        </is>
      </c>
      <c r="N18" s="3" t="inlineStr">
        <is>
          <t>Effective Customs</t>
        </is>
      </c>
      <c r="O18" s="3" t="inlineStr">
        <is>
          <t>Effective Fixed</t>
        </is>
      </c>
      <c r="P18" s="3" t="inlineStr">
        <is>
          <t>Effective Duty</t>
        </is>
      </c>
      <c r="Q18" s="3" t="inlineStr">
        <is>
          <t>Route Base USD</t>
        </is>
      </c>
      <c r="R18" s="3" t="inlineStr">
        <is>
          <t>Value Fee Rate</t>
        </is>
      </c>
    </row>
    <row r="19" ht="22" customHeight="1">
      <c r="A19" s="4" t="inlineStr">
        <is>
          <t>Sb</t>
        </is>
      </c>
      <c r="B19" s="11">
        <f>'01_Input_Assumptions'!B34</f>
        <v/>
      </c>
      <c r="C19" s="6">
        <f>'01_Input_Assumptions'!H17</f>
        <v/>
      </c>
      <c r="D19" s="6">
        <f>'01_Input_Assumptions'!I17</f>
        <v/>
      </c>
      <c r="E19" s="6">
        <f>'01_Input_Assumptions'!P17</f>
        <v/>
      </c>
      <c r="F19" s="6" t="n">
        <v>6000</v>
      </c>
      <c r="G19" s="6">
        <f>'01_Input_Assumptions'!O17</f>
        <v/>
      </c>
      <c r="H19" s="9">
        <f>'01_Input_Assumptions'!Q17</f>
        <v/>
      </c>
      <c r="I19" s="9" t="n">
        <v>0.008999999999999999</v>
      </c>
      <c r="J19" s="9" t="n">
        <v>0.05</v>
      </c>
      <c r="K19" s="6" t="n">
        <v>0</v>
      </c>
      <c r="L19" s="12">
        <f>IF('01_Input_Assumptions'!D34="Yes",C19,0)</f>
        <v/>
      </c>
      <c r="M19" s="12">
        <f>IF('01_Input_Assumptions'!D34="Yes",D19,0)</f>
        <v/>
      </c>
      <c r="N19" s="12">
        <f>IF('01_Input_Assumptions'!E34="Yes",E19,0)</f>
        <v/>
      </c>
      <c r="O19" s="12">
        <f>IF('01_Input_Assumptions'!E34="Yes",F19,0)</f>
        <v/>
      </c>
      <c r="P19" s="13">
        <f>IF('01_Input_Assumptions'!H34="Yes",H19,0)</f>
        <v/>
      </c>
      <c r="Q19" s="12">
        <f>'01_Input_Assumptions'!C17*L19+'01_Input_Assumptions'!C17*M19+('01_Input_Assumptions'!C17*(1-'01_Input_Assumptions'!D17))*N19+O19+'01_Input_Assumptions'!C17*IF('01_Input_Assumptions'!F34="Yes",G19,0)</f>
        <v/>
      </c>
      <c r="R19" s="13">
        <f>P19+IF('01_Input_Assumptions'!G34="Yes",I19,0)</f>
        <v/>
      </c>
    </row>
    <row r="20" ht="22" customHeight="1">
      <c r="A20" s="4" t="inlineStr">
        <is>
          <t>WO3</t>
        </is>
      </c>
      <c r="B20" s="11">
        <f>'01_Input_Assumptions'!B35</f>
        <v/>
      </c>
      <c r="C20" s="6">
        <f>'01_Input_Assumptions'!H18</f>
        <v/>
      </c>
      <c r="D20" s="6">
        <f>'01_Input_Assumptions'!I18</f>
        <v/>
      </c>
      <c r="E20" s="6">
        <f>'01_Input_Assumptions'!P18</f>
        <v/>
      </c>
      <c r="F20" s="6" t="n">
        <v>6000</v>
      </c>
      <c r="G20" s="6">
        <f>'01_Input_Assumptions'!O18</f>
        <v/>
      </c>
      <c r="H20" s="9">
        <f>'01_Input_Assumptions'!Q18</f>
        <v/>
      </c>
      <c r="I20" s="9" t="n">
        <v>0.008999999999999999</v>
      </c>
      <c r="J20" s="9" t="n">
        <v>0.05</v>
      </c>
      <c r="K20" s="6" t="n">
        <v>0</v>
      </c>
      <c r="L20" s="12">
        <f>IF('01_Input_Assumptions'!D35="Yes",C20,0)</f>
        <v/>
      </c>
      <c r="M20" s="12">
        <f>IF('01_Input_Assumptions'!D35="Yes",D20,0)</f>
        <v/>
      </c>
      <c r="N20" s="12">
        <f>IF('01_Input_Assumptions'!E35="Yes",E20,0)</f>
        <v/>
      </c>
      <c r="O20" s="12">
        <f>IF('01_Input_Assumptions'!E35="Yes",F20,0)</f>
        <v/>
      </c>
      <c r="P20" s="13">
        <f>IF('01_Input_Assumptions'!H35="Yes",H20,0)</f>
        <v/>
      </c>
      <c r="Q20" s="12">
        <f>'01_Input_Assumptions'!C18*L20+'01_Input_Assumptions'!C18*M20+('01_Input_Assumptions'!C18*(1-'01_Input_Assumptions'!D18))*N20+O20+'01_Input_Assumptions'!C18*IF('01_Input_Assumptions'!F35="Yes",G20,0)</f>
        <v/>
      </c>
      <c r="R20" s="13">
        <f>P20+IF('01_Input_Assumptions'!G35="Yes",I20,0)</f>
        <v/>
      </c>
    </row>
    <row r="21" ht="22" customHeight="1">
      <c r="A21" s="4" t="inlineStr">
        <is>
          <t>Li2O</t>
        </is>
      </c>
      <c r="B21" s="11">
        <f>'01_Input_Assumptions'!B36</f>
        <v/>
      </c>
      <c r="C21" s="6">
        <f>'01_Input_Assumptions'!H19</f>
        <v/>
      </c>
      <c r="D21" s="6">
        <f>'01_Input_Assumptions'!I19</f>
        <v/>
      </c>
      <c r="E21" s="6">
        <f>'01_Input_Assumptions'!P19</f>
        <v/>
      </c>
      <c r="F21" s="6" t="n">
        <v>6000</v>
      </c>
      <c r="G21" s="6">
        <f>'01_Input_Assumptions'!O19</f>
        <v/>
      </c>
      <c r="H21" s="9">
        <f>'01_Input_Assumptions'!Q19</f>
        <v/>
      </c>
      <c r="I21" s="9" t="n">
        <v>0.008999999999999999</v>
      </c>
      <c r="J21" s="9" t="n">
        <v>0.05</v>
      </c>
      <c r="K21" s="6" t="n">
        <v>0</v>
      </c>
      <c r="L21" s="12">
        <f>IF('01_Input_Assumptions'!D36="Yes",C21,0)</f>
        <v/>
      </c>
      <c r="M21" s="12">
        <f>IF('01_Input_Assumptions'!D36="Yes",D21,0)</f>
        <v/>
      </c>
      <c r="N21" s="12">
        <f>IF('01_Input_Assumptions'!E36="Yes",E21,0)</f>
        <v/>
      </c>
      <c r="O21" s="12">
        <f>IF('01_Input_Assumptions'!E36="Yes",F21,0)</f>
        <v/>
      </c>
      <c r="P21" s="13">
        <f>IF('01_Input_Assumptions'!H36="Yes",H21,0)</f>
        <v/>
      </c>
      <c r="Q21" s="12">
        <f>'01_Input_Assumptions'!C19*L21+'01_Input_Assumptions'!C19*M21+('01_Input_Assumptions'!C19*(1-'01_Input_Assumptions'!D19))*N21+O21+'01_Input_Assumptions'!C19*IF('01_Input_Assumptions'!F36="Yes",G21,0)</f>
        <v/>
      </c>
      <c r="R21" s="13">
        <f>P21+IF('01_Input_Assumptions'!G36="Yes",I21,0)</f>
        <v/>
      </c>
    </row>
    <row r="22" ht="22" customHeight="1">
      <c r="A22" s="4" t="inlineStr">
        <is>
          <t>Cu</t>
        </is>
      </c>
      <c r="B22" s="11">
        <f>'01_Input_Assumptions'!B37</f>
        <v/>
      </c>
      <c r="C22" s="6">
        <f>'01_Input_Assumptions'!H20</f>
        <v/>
      </c>
      <c r="D22" s="6">
        <f>'01_Input_Assumptions'!I20</f>
        <v/>
      </c>
      <c r="E22" s="6">
        <f>'01_Input_Assumptions'!P20</f>
        <v/>
      </c>
      <c r="F22" s="6" t="n">
        <v>6000</v>
      </c>
      <c r="G22" s="6">
        <f>'01_Input_Assumptions'!O20</f>
        <v/>
      </c>
      <c r="H22" s="9">
        <f>'01_Input_Assumptions'!Q20</f>
        <v/>
      </c>
      <c r="I22" s="9" t="n">
        <v>0.008999999999999999</v>
      </c>
      <c r="J22" s="9" t="n">
        <v>0.05</v>
      </c>
      <c r="K22" s="6" t="n">
        <v>88</v>
      </c>
      <c r="L22" s="12">
        <f>IF('01_Input_Assumptions'!D37="Yes",C22,0)</f>
        <v/>
      </c>
      <c r="M22" s="12">
        <f>IF('01_Input_Assumptions'!D37="Yes",D22,0)</f>
        <v/>
      </c>
      <c r="N22" s="12">
        <f>IF('01_Input_Assumptions'!E37="Yes",E22,0)</f>
        <v/>
      </c>
      <c r="O22" s="12">
        <f>IF('01_Input_Assumptions'!E37="Yes",F22,0)</f>
        <v/>
      </c>
      <c r="P22" s="13">
        <f>IF('01_Input_Assumptions'!H37="Yes",H22,0)</f>
        <v/>
      </c>
      <c r="Q22" s="12">
        <f>'01_Input_Assumptions'!C20*L22+'01_Input_Assumptions'!C20*M22+('01_Input_Assumptions'!C20*(1-'01_Input_Assumptions'!D20))*N22+O22+'01_Input_Assumptions'!C20*IF('01_Input_Assumptions'!F37="Yes",G22,0)</f>
        <v/>
      </c>
      <c r="R22" s="13">
        <f>P22+IF('01_Input_Assumptions'!G37="Yes",I22,0)</f>
        <v/>
      </c>
    </row>
  </sheetData>
  <mergeCells count="4">
    <mergeCell ref="A2:R2"/>
    <mergeCell ref="A4:J4"/>
    <mergeCell ref="A1:R1"/>
    <mergeCell ref="A17:R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32" customWidth="1" min="10" max="10"/>
  </cols>
  <sheetData>
    <row r="1" ht="22" customHeight="1">
      <c r="A1" s="1" t="inlineStr">
        <is>
          <t>04 Settlement Adjustments</t>
        </is>
      </c>
    </row>
    <row r="2" ht="22" customHeight="1">
      <c r="A2" s="2" t="inlineStr">
        <is>
          <t>TC/RC, assay adjustment, and byproduct credits</t>
        </is>
      </c>
    </row>
    <row r="3" ht="22" customHeight="1"/>
    <row r="4" ht="22" customHeight="1">
      <c r="A4" s="5" t="inlineStr">
        <is>
          <t>A. TC / RC</t>
        </is>
      </c>
    </row>
    <row r="5" ht="22" customHeight="1">
      <c r="A5" s="3" t="inlineStr">
        <is>
          <t>Commodity</t>
        </is>
      </c>
      <c r="B5" s="3" t="inlineStr">
        <is>
          <t>TC USD/DMT</t>
        </is>
      </c>
      <c r="C5" s="3" t="inlineStr">
        <is>
          <t>RC USD/DMT</t>
        </is>
      </c>
      <c r="D5" s="3" t="inlineStr">
        <is>
          <t>Additional Cost USD/DMT</t>
        </is>
      </c>
      <c r="E5" s="3" t="inlineStr">
        <is>
          <t>TC RMB/DMT</t>
        </is>
      </c>
      <c r="F5" s="3" t="inlineStr">
        <is>
          <t>RC RMB/DMT</t>
        </is>
      </c>
      <c r="G5" s="3" t="inlineStr">
        <is>
          <t>Additional Cost RMB/DMT</t>
        </is>
      </c>
      <c r="H5" s="3" t="inlineStr">
        <is>
          <t>Basis</t>
        </is>
      </c>
      <c r="I5" s="3" t="inlineStr">
        <is>
          <t>Note</t>
        </is>
      </c>
    </row>
    <row r="6" ht="22" customHeight="1">
      <c r="A6" s="4" t="inlineStr">
        <is>
          <t>Sb</t>
        </is>
      </c>
      <c r="B6" s="6" t="n">
        <v>0</v>
      </c>
      <c r="C6" s="6" t="n">
        <v>0</v>
      </c>
      <c r="D6" s="12">
        <f>B6+C6</f>
        <v/>
      </c>
      <c r="E6" s="6" t="n">
        <v>0</v>
      </c>
      <c r="F6" s="6">
        <f>C6*'01_Input_Assumptions'!B6</f>
        <v/>
      </c>
      <c r="G6" s="12">
        <f>E6+F6</f>
        <v/>
      </c>
      <c r="H6" s="4" t="inlineStr">
        <is>
          <t>DMT</t>
        </is>
      </c>
      <c r="I6" s="4" t="inlineStr">
        <is>
          <t>Extra smelter deduction if applicable</t>
        </is>
      </c>
    </row>
    <row r="7" ht="22" customHeight="1">
      <c r="A7" s="4" t="inlineStr">
        <is>
          <t>WO3</t>
        </is>
      </c>
      <c r="B7" s="6" t="n">
        <v>0</v>
      </c>
      <c r="C7" s="6" t="n">
        <v>0</v>
      </c>
      <c r="D7" s="12">
        <f>B7+C7</f>
        <v/>
      </c>
      <c r="E7" s="6" t="n">
        <v>0</v>
      </c>
      <c r="F7" s="6">
        <f>C7*'01_Input_Assumptions'!B6</f>
        <v/>
      </c>
      <c r="G7" s="12">
        <f>E7+F7</f>
        <v/>
      </c>
      <c r="H7" s="4" t="inlineStr">
        <is>
          <t>DMT</t>
        </is>
      </c>
      <c r="I7" s="4" t="inlineStr">
        <is>
          <t>Extra smelter deduction if applicable</t>
        </is>
      </c>
    </row>
    <row r="8" ht="22" customHeight="1">
      <c r="A8" s="4" t="inlineStr">
        <is>
          <t>Li2O</t>
        </is>
      </c>
      <c r="B8" s="6" t="n">
        <v>0</v>
      </c>
      <c r="C8" s="6" t="n">
        <v>0</v>
      </c>
      <c r="D8" s="12">
        <f>B8+C8</f>
        <v/>
      </c>
      <c r="E8" s="6" t="n">
        <v>0</v>
      </c>
      <c r="F8" s="6">
        <f>C8*'01_Input_Assumptions'!B6</f>
        <v/>
      </c>
      <c r="G8" s="12">
        <f>E8+F8</f>
        <v/>
      </c>
      <c r="H8" s="4" t="inlineStr">
        <is>
          <t>DMT</t>
        </is>
      </c>
      <c r="I8" s="4" t="inlineStr">
        <is>
          <t>Extra smelter deduction if applicable</t>
        </is>
      </c>
    </row>
    <row r="9" ht="22" customHeight="1">
      <c r="A9" s="4" t="inlineStr">
        <is>
          <t>Cu</t>
        </is>
      </c>
      <c r="B9" s="6" t="n">
        <v>0</v>
      </c>
      <c r="C9" s="6" t="n">
        <v>88</v>
      </c>
      <c r="D9" s="12">
        <f>B9+C9</f>
        <v/>
      </c>
      <c r="E9" s="6" t="n">
        <v>0</v>
      </c>
      <c r="F9" s="6">
        <f>C9*'01_Input_Assumptions'!B6</f>
        <v/>
      </c>
      <c r="G9" s="12">
        <f>E9+F9</f>
        <v/>
      </c>
      <c r="H9" s="4" t="inlineStr">
        <is>
          <t>DMT</t>
        </is>
      </c>
      <c r="I9" s="4" t="inlineStr">
        <is>
          <t>Extra smelter deduction if applicable</t>
        </is>
      </c>
    </row>
    <row r="10" ht="22" customHeight="1"/>
    <row r="11" ht="22" customHeight="1"/>
    <row r="12" ht="22" customHeight="1"/>
    <row r="13" ht="22" customHeight="1">
      <c r="A13" s="5" t="inlineStr">
        <is>
          <t>B. Assay Adjustment</t>
        </is>
      </c>
    </row>
    <row r="14" ht="22" customHeight="1">
      <c r="A14" s="3" t="inlineStr">
        <is>
          <t>Commodity</t>
        </is>
      </c>
      <c r="B14" s="3" t="inlineStr">
        <is>
          <t>Loading Grade</t>
        </is>
      </c>
      <c r="C14" s="3" t="inlineStr">
        <is>
          <t>Final Grade</t>
        </is>
      </c>
      <c r="D14" s="3" t="inlineStr">
        <is>
          <t>Grade Adjustment</t>
        </is>
      </c>
      <c r="E14" s="3" t="inlineStr">
        <is>
          <t>Moisture Adj.</t>
        </is>
      </c>
      <c r="F14" s="3" t="inlineStr">
        <is>
          <t>Payability Adj.</t>
        </is>
      </c>
      <c r="G14" s="3" t="inlineStr">
        <is>
          <t>Penalty Adj. USD/DMT</t>
        </is>
      </c>
      <c r="H14" s="3" t="inlineStr">
        <is>
          <t>Penalty Adj. RMB/DMT</t>
        </is>
      </c>
      <c r="I14" s="3" t="inlineStr">
        <is>
          <t>Status</t>
        </is>
      </c>
      <c r="J14" s="3" t="inlineStr">
        <is>
          <t>Note</t>
        </is>
      </c>
    </row>
    <row r="15" ht="22" customHeight="1">
      <c r="A15" s="4" t="inlineStr">
        <is>
          <t>Sb</t>
        </is>
      </c>
      <c r="B15" s="13">
        <f>'01_Input_Assumptions'!E17</f>
        <v/>
      </c>
      <c r="C15" s="9">
        <f>B15</f>
        <v/>
      </c>
      <c r="D15" s="13">
        <f>C15-B15</f>
        <v/>
      </c>
      <c r="E15" s="9" t="n">
        <v>0</v>
      </c>
      <c r="F15" s="9" t="n">
        <v>0</v>
      </c>
      <c r="G15" s="6" t="n">
        <v>0</v>
      </c>
      <c r="H15" s="6" t="n">
        <v>0</v>
      </c>
      <c r="I15" s="7" t="inlineStr">
        <is>
          <t>Pending</t>
        </is>
      </c>
      <c r="J15" s="4" t="inlineStr">
        <is>
          <t>Update after final assay</t>
        </is>
      </c>
    </row>
    <row r="16" ht="22" customHeight="1">
      <c r="A16" s="4" t="inlineStr">
        <is>
          <t>WO3</t>
        </is>
      </c>
      <c r="B16" s="13">
        <f>'01_Input_Assumptions'!E18</f>
        <v/>
      </c>
      <c r="C16" s="9">
        <f>B16</f>
        <v/>
      </c>
      <c r="D16" s="13">
        <f>C16-B16</f>
        <v/>
      </c>
      <c r="E16" s="9" t="n">
        <v>0</v>
      </c>
      <c r="F16" s="9" t="n">
        <v>0</v>
      </c>
      <c r="G16" s="6" t="n">
        <v>0</v>
      </c>
      <c r="H16" s="6" t="n">
        <v>0</v>
      </c>
      <c r="I16" s="7" t="inlineStr">
        <is>
          <t>Pending</t>
        </is>
      </c>
      <c r="J16" s="4" t="inlineStr">
        <is>
          <t>Update after final assay</t>
        </is>
      </c>
    </row>
    <row r="17" ht="22" customHeight="1">
      <c r="A17" s="4" t="inlineStr">
        <is>
          <t>Li2O</t>
        </is>
      </c>
      <c r="B17" s="13">
        <f>'01_Input_Assumptions'!E19</f>
        <v/>
      </c>
      <c r="C17" s="9">
        <f>B17</f>
        <v/>
      </c>
      <c r="D17" s="13">
        <f>C17-B17</f>
        <v/>
      </c>
      <c r="E17" s="9" t="n">
        <v>0</v>
      </c>
      <c r="F17" s="9" t="n">
        <v>0</v>
      </c>
      <c r="G17" s="6" t="n">
        <v>0</v>
      </c>
      <c r="H17" s="6" t="n">
        <v>0</v>
      </c>
      <c r="I17" s="7" t="inlineStr">
        <is>
          <t>Pending</t>
        </is>
      </c>
      <c r="J17" s="4" t="inlineStr">
        <is>
          <t>Update after final assay</t>
        </is>
      </c>
    </row>
    <row r="18" ht="22" customHeight="1">
      <c r="A18" s="4" t="inlineStr">
        <is>
          <t>Cu</t>
        </is>
      </c>
      <c r="B18" s="13">
        <f>'01_Input_Assumptions'!E20</f>
        <v/>
      </c>
      <c r="C18" s="9">
        <f>B18</f>
        <v/>
      </c>
      <c r="D18" s="13">
        <f>C18-B18</f>
        <v/>
      </c>
      <c r="E18" s="9" t="n">
        <v>0</v>
      </c>
      <c r="F18" s="9" t="n">
        <v>0</v>
      </c>
      <c r="G18" s="6" t="n">
        <v>0</v>
      </c>
      <c r="H18" s="6" t="n">
        <v>0</v>
      </c>
      <c r="I18" s="7" t="inlineStr">
        <is>
          <t>Pending</t>
        </is>
      </c>
      <c r="J18" s="4" t="inlineStr">
        <is>
          <t>Update after final assay</t>
        </is>
      </c>
    </row>
    <row r="19" ht="22" customHeight="1"/>
    <row r="20" ht="22" customHeight="1"/>
    <row r="21" ht="22" customHeight="1"/>
    <row r="22" ht="22" customHeight="1">
      <c r="A22" s="5" t="inlineStr">
        <is>
          <t>C. Byproduct Credits</t>
        </is>
      </c>
    </row>
    <row r="23" ht="22" customHeight="1">
      <c r="A23" s="3" t="inlineStr">
        <is>
          <t>Commodity</t>
        </is>
      </c>
      <c r="B23" s="3" t="inlineStr">
        <is>
          <t>Byproduct 1</t>
        </is>
      </c>
      <c r="C23" s="3" t="inlineStr">
        <is>
          <t>Credit USD/DMT</t>
        </is>
      </c>
      <c r="D23" s="3" t="inlineStr">
        <is>
          <t>Credit RMB/DMT</t>
        </is>
      </c>
      <c r="E23" s="3" t="inlineStr">
        <is>
          <t>Byproduct 2</t>
        </is>
      </c>
      <c r="F23" s="3" t="inlineStr">
        <is>
          <t>Credit USD/DMT</t>
        </is>
      </c>
      <c r="G23" s="3" t="inlineStr">
        <is>
          <t>Credit RMB/DMT</t>
        </is>
      </c>
      <c r="H23" s="3" t="inlineStr">
        <is>
          <t>Total Credit USD/DMT</t>
        </is>
      </c>
      <c r="I23" s="3" t="inlineStr">
        <is>
          <t>Total Credit RMB/DMT</t>
        </is>
      </c>
    </row>
    <row r="24" ht="22" customHeight="1">
      <c r="A24" s="4" t="inlineStr">
        <is>
          <t>Sb</t>
        </is>
      </c>
      <c r="B24" s="7" t="inlineStr">
        <is>
          <t>Au/Ag</t>
        </is>
      </c>
      <c r="C24" s="6" t="n">
        <v>0</v>
      </c>
      <c r="D24" s="6" t="n">
        <v>0</v>
      </c>
      <c r="E24" s="7" t="inlineStr">
        <is>
          <t>Other</t>
        </is>
      </c>
      <c r="F24" s="6" t="n">
        <v>0</v>
      </c>
      <c r="G24" s="6" t="n">
        <v>0</v>
      </c>
      <c r="H24" s="12">
        <f>C24+F24</f>
        <v/>
      </c>
      <c r="I24" s="12">
        <f>D24+G24</f>
        <v/>
      </c>
    </row>
    <row r="25" ht="22" customHeight="1">
      <c r="A25" s="4" t="inlineStr">
        <is>
          <t>WO3</t>
        </is>
      </c>
      <c r="B25" s="7" t="inlineStr">
        <is>
          <t>Sn/Mo</t>
        </is>
      </c>
      <c r="C25" s="6" t="n">
        <v>0</v>
      </c>
      <c r="D25" s="6" t="n">
        <v>0</v>
      </c>
      <c r="E25" s="7" t="inlineStr">
        <is>
          <t>Other</t>
        </is>
      </c>
      <c r="F25" s="6" t="n">
        <v>0</v>
      </c>
      <c r="G25" s="6" t="n">
        <v>0</v>
      </c>
      <c r="H25" s="12">
        <f>C25+F25</f>
        <v/>
      </c>
      <c r="I25" s="12">
        <f>D25+G25</f>
        <v/>
      </c>
    </row>
    <row r="26" ht="22" customHeight="1">
      <c r="A26" s="4" t="inlineStr">
        <is>
          <t>Li2O</t>
        </is>
      </c>
      <c r="B26" s="7" t="inlineStr">
        <is>
          <t>Ta/Nb</t>
        </is>
      </c>
      <c r="C26" s="6" t="n">
        <v>0</v>
      </c>
      <c r="D26" s="6" t="n">
        <v>0</v>
      </c>
      <c r="E26" s="7" t="inlineStr">
        <is>
          <t>Other</t>
        </is>
      </c>
      <c r="F26" s="6" t="n">
        <v>0</v>
      </c>
      <c r="G26" s="6" t="n">
        <v>0</v>
      </c>
      <c r="H26" s="12">
        <f>C26+F26</f>
        <v/>
      </c>
      <c r="I26" s="12">
        <f>D26+G26</f>
        <v/>
      </c>
    </row>
    <row r="27" ht="22" customHeight="1">
      <c r="A27" s="4" t="inlineStr">
        <is>
          <t>Cu</t>
        </is>
      </c>
      <c r="B27" s="7" t="inlineStr">
        <is>
          <t>Au/Ag</t>
        </is>
      </c>
      <c r="C27" s="6" t="n">
        <v>0</v>
      </c>
      <c r="D27" s="6" t="n">
        <v>0</v>
      </c>
      <c r="E27" s="7" t="inlineStr">
        <is>
          <t>Other</t>
        </is>
      </c>
      <c r="F27" s="6" t="n">
        <v>0</v>
      </c>
      <c r="G27" s="6" t="n">
        <v>0</v>
      </c>
      <c r="H27" s="12">
        <f>C27+F27</f>
        <v/>
      </c>
      <c r="I27" s="12">
        <f>D27+G27</f>
        <v/>
      </c>
    </row>
  </sheetData>
  <mergeCells count="5">
    <mergeCell ref="A1:J1"/>
    <mergeCell ref="A2:J2"/>
    <mergeCell ref="A22:I22"/>
    <mergeCell ref="A4:I4"/>
    <mergeCell ref="A13:J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7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20" customWidth="1" min="4" max="4"/>
    <col width="4" customWidth="1" min="5" max="5"/>
    <col width="24" customWidth="1" min="6" max="6"/>
    <col width="20" customWidth="1" min="7" max="7"/>
    <col width="20" customWidth="1" min="8" max="8"/>
    <col width="20" customWidth="1" min="9" max="9"/>
  </cols>
  <sheetData>
    <row r="1" ht="22" customHeight="1">
      <c r="A1" s="1" t="inlineStr">
        <is>
          <t>05 Commodity Models</t>
        </is>
      </c>
    </row>
    <row r="2" ht="22" customHeight="1">
      <c r="A2" s="2" t="inlineStr">
        <is>
          <t>Compact commodity blocks: input assumptions on the left and P&amp;L calculation on the right</t>
        </is>
      </c>
    </row>
    <row r="3" ht="22" customHeight="1"/>
    <row r="4" ht="22" customHeight="1">
      <c r="A4" s="5" t="inlineStr">
        <is>
          <t>Sb - 锑矿模型</t>
        </is>
      </c>
      <c r="F4" s="5" t="inlineStr">
        <is>
          <t>Sb P&amp;L</t>
        </is>
      </c>
    </row>
    <row r="5" ht="22" customHeight="1">
      <c r="A5" s="14" t="inlineStr">
        <is>
          <t>International and domestic route inputs share the same physical assumptions</t>
        </is>
      </c>
      <c r="F5" s="14" t="inlineStr">
        <is>
          <t>International USD, domestic RMB, and domestic USD equivalent</t>
        </is>
      </c>
    </row>
    <row r="6" ht="22" customHeight="1"/>
    <row r="7" ht="22" customHeight="1">
      <c r="A7" s="3" t="inlineStr">
        <is>
          <t>Input / Calc</t>
        </is>
      </c>
      <c r="B7" s="3" t="inlineStr">
        <is>
          <t>International</t>
        </is>
      </c>
      <c r="C7" s="3" t="inlineStr">
        <is>
          <t>Domestic</t>
        </is>
      </c>
      <c r="D7" s="3" t="inlineStr">
        <is>
          <t>Unit</t>
        </is>
      </c>
      <c r="F7" s="3" t="inlineStr">
        <is>
          <t>Calculation</t>
        </is>
      </c>
      <c r="G7" s="3" t="inlineStr">
        <is>
          <t>International USD</t>
        </is>
      </c>
      <c r="H7" s="3" t="inlineStr">
        <is>
          <t>Domestic RMB</t>
        </is>
      </c>
      <c r="I7" s="3" t="inlineStr">
        <is>
          <t>Domestic USD</t>
        </is>
      </c>
    </row>
    <row r="8" ht="22" customHeight="1">
      <c r="A8" s="4" t="inlineStr">
        <is>
          <t>Commodity</t>
        </is>
      </c>
      <c r="B8" s="7">
        <f>'01_Input_Assumptions'!A17</f>
        <v/>
      </c>
      <c r="C8" s="7">
        <f>'01_Input_Assumptions'!A17</f>
        <v/>
      </c>
      <c r="D8" s="4" t="inlineStr">
        <is>
          <t>-</t>
        </is>
      </c>
      <c r="F8" s="4" t="inlineStr">
        <is>
          <t>Revenue / DMT</t>
        </is>
      </c>
      <c r="G8" s="12">
        <f>(B12+'04_Settlement_Adjustments'!D15)*B13*(B14+'04_Settlement_Adjustments'!F15)-B15-B16-'04_Settlement_Adjustments'!G15</f>
        <v/>
      </c>
      <c r="H8" s="12">
        <f>(C12+'04_Settlement_Adjustments'!D15)*C13*(C14+'04_Settlement_Adjustments'!F15)-C15-C16-'04_Settlement_Adjustments'!H15</f>
        <v/>
      </c>
      <c r="I8" s="12">
        <f>IFERROR(H8/B17,0)</f>
        <v/>
      </c>
    </row>
    <row r="9" ht="22" customHeight="1">
      <c r="A9" s="4" t="inlineStr">
        <is>
          <t>WMT_Qty</t>
        </is>
      </c>
      <c r="B9" s="6">
        <f>'01_Input_Assumptions'!C17</f>
        <v/>
      </c>
      <c r="C9" s="6">
        <f>'01_Input_Assumptions'!C17</f>
        <v/>
      </c>
      <c r="D9" s="4" t="inlineStr">
        <is>
          <t>WMT</t>
        </is>
      </c>
      <c r="F9" s="4" t="inlineStr">
        <is>
          <t>Sales Revenue</t>
        </is>
      </c>
      <c r="G9" s="12">
        <f>G8*B11</f>
        <v/>
      </c>
      <c r="H9" s="12">
        <f>H8*C11</f>
        <v/>
      </c>
      <c r="I9" s="12">
        <f>IFERROR(H9/B17,0)</f>
        <v/>
      </c>
    </row>
    <row r="10" ht="22" customHeight="1">
      <c r="A10" s="4" t="inlineStr">
        <is>
          <t>Moisture</t>
        </is>
      </c>
      <c r="B10" s="9">
        <f>'01_Input_Assumptions'!D17</f>
        <v/>
      </c>
      <c r="C10" s="9">
        <f>'01_Input_Assumptions'!D17</f>
        <v/>
      </c>
      <c r="D10" s="4" t="inlineStr">
        <is>
          <t>%</t>
        </is>
      </c>
      <c r="F10" s="4" t="inlineStr">
        <is>
          <t>Byproduct Credits</t>
        </is>
      </c>
      <c r="G10" s="12">
        <f>'04_Settlement_Adjustments'!H24*B11</f>
        <v/>
      </c>
      <c r="H10" s="12">
        <f>'04_Settlement_Adjustments'!I24*C11</f>
        <v/>
      </c>
      <c r="I10" s="12">
        <f>IFERROR(H10/B17,0)</f>
        <v/>
      </c>
    </row>
    <row r="11" ht="22" customHeight="1">
      <c r="A11" s="4" t="inlineStr">
        <is>
          <t>DMT_Qty</t>
        </is>
      </c>
      <c r="B11" s="6">
        <f>B9*(1-B10)</f>
        <v/>
      </c>
      <c r="C11" s="6">
        <f>C9*(1-C10)</f>
        <v/>
      </c>
      <c r="D11" s="4" t="inlineStr">
        <is>
          <t>DMT</t>
        </is>
      </c>
      <c r="F11" s="4" t="inlineStr">
        <is>
          <t>Purchase Cost Total</t>
        </is>
      </c>
      <c r="G11" s="12">
        <f>IF('03_Logistics_Cost'!B19="FOB", B11*B20, B11*B18)</f>
        <v/>
      </c>
      <c r="H11" s="12">
        <f>G11*B17</f>
        <v/>
      </c>
      <c r="I11" s="12">
        <f>IFERROR(H11/B17,0)</f>
        <v/>
      </c>
    </row>
    <row r="12" ht="22" customHeight="1">
      <c r="A12" s="4" t="inlineStr">
        <is>
          <t>Grade</t>
        </is>
      </c>
      <c r="B12" s="9">
        <f>'01_Input_Assumptions'!E17</f>
        <v/>
      </c>
      <c r="C12" s="9">
        <f>'01_Input_Assumptions'!E17</f>
        <v/>
      </c>
      <c r="D12" s="4" t="inlineStr">
        <is>
          <t>%</t>
        </is>
      </c>
      <c r="F12" s="4" t="inlineStr">
        <is>
          <t>Logistics Base</t>
        </is>
      </c>
      <c r="G12" s="12">
        <f>'03_Logistics_Cost'!Q19</f>
        <v/>
      </c>
      <c r="H12" s="12">
        <f>G12*B17</f>
        <v/>
      </c>
      <c r="I12" s="12">
        <f>IFERROR(H12/B17,0)</f>
        <v/>
      </c>
    </row>
    <row r="13" ht="22" customHeight="1">
      <c r="A13" s="4" t="inlineStr">
        <is>
          <t>Benchmark Price</t>
        </is>
      </c>
      <c r="B13" s="6">
        <f>'01_Input_Assumptions'!L17</f>
        <v/>
      </c>
      <c r="C13" s="6">
        <f>'01_Input_Assumptions'!T17</f>
        <v/>
      </c>
      <c r="D13" s="4" t="inlineStr">
        <is>
          <t>Index</t>
        </is>
      </c>
      <c r="F13" s="4" t="inlineStr">
        <is>
          <t>Value Based Fees</t>
        </is>
      </c>
      <c r="G13" s="12">
        <f>(G11 + B9*'03_Logistics_Cost'!L19 + B9*'03_Logistics_Cost'!M19 + B11*'03_Logistics_Cost'!N19 + '03_Logistics_Cost'!O19)*'03_Logistics_Cost'!P19 + G9*IF('01_Input_Assumptions'!G34="Yes",'03_Logistics_Cost'!I19,0)</f>
        <v/>
      </c>
      <c r="H13" s="12">
        <f>(H11 + C9*'03_Logistics_Cost'!L19*B17 + C9*'03_Logistics_Cost'!M19*B17 + C11*'03_Logistics_Cost'!N19*B17 + '03_Logistics_Cost'!O19*B17)*'03_Logistics_Cost'!P19 + H9*IF('01_Input_Assumptions'!G34="Yes",'03_Logistics_Cost'!I19,0)</f>
        <v/>
      </c>
      <c r="I13" s="12">
        <f>IFERROR(H13/B17,0)</f>
        <v/>
      </c>
    </row>
    <row r="14" ht="22" customHeight="1">
      <c r="A14" s="4" t="inlineStr">
        <is>
          <t>Payability</t>
        </is>
      </c>
      <c r="B14" s="9">
        <f>'01_Input_Assumptions'!M17</f>
        <v/>
      </c>
      <c r="C14" s="9">
        <f>'01_Input_Assumptions'!U17</f>
        <v/>
      </c>
      <c r="D14" s="4" t="inlineStr">
        <is>
          <t>%</t>
        </is>
      </c>
      <c r="F14" s="4" t="inlineStr">
        <is>
          <t>TC/RC Adjustment</t>
        </is>
      </c>
      <c r="G14" s="12">
        <f>'03_Logistics_Cost'!K19*B11</f>
        <v/>
      </c>
      <c r="H14" s="12">
        <f>G14*B17</f>
        <v/>
      </c>
      <c r="I14" s="12">
        <f>IFERROR(H14/B17,0)</f>
        <v/>
      </c>
    </row>
    <row r="15" ht="22" customHeight="1">
      <c r="A15" s="4" t="inlineStr">
        <is>
          <t>Treatment Charge</t>
        </is>
      </c>
      <c r="B15" s="6">
        <f>'01_Input_Assumptions'!N17</f>
        <v/>
      </c>
      <c r="C15" s="6">
        <f>'01_Input_Assumptions'!V17</f>
        <v/>
      </c>
      <c r="D15" s="4" t="inlineStr">
        <is>
          <t>USD/RMB per DMT</t>
        </is>
      </c>
      <c r="F15" s="4" t="inlineStr">
        <is>
          <t>Contingency</t>
        </is>
      </c>
      <c r="G15" s="12">
        <f>IF('03_Logistics_Cost'!B19="FOB",0,(G11+G12+G13+G14)*'03_Logistics_Cost'!J19)</f>
        <v/>
      </c>
      <c r="H15" s="12">
        <f>IF('03_Logistics_Cost'!B19="FOB",0,(H11+H12+H13+H14)*'03_Logistics_Cost'!J19)</f>
        <v/>
      </c>
      <c r="I15" s="12">
        <f>IFERROR(H15/B17,0)</f>
        <v/>
      </c>
    </row>
    <row r="16" ht="22" customHeight="1">
      <c r="A16" s="4" t="inlineStr">
        <is>
          <t>Penalty</t>
        </is>
      </c>
      <c r="B16" s="6">
        <f>'01_Input_Assumptions'!L25</f>
        <v/>
      </c>
      <c r="C16" s="6">
        <f>'01_Input_Assumptions'!L25*B17</f>
        <v/>
      </c>
      <c r="D16" s="4" t="inlineStr">
        <is>
          <t>USD/RMB per DMT</t>
        </is>
      </c>
      <c r="F16" s="4" t="inlineStr">
        <is>
          <t>Total Cost</t>
        </is>
      </c>
      <c r="G16" s="12">
        <f>SUM(G11:G15)</f>
        <v/>
      </c>
      <c r="H16" s="12">
        <f>SUM(H11:H15)</f>
        <v/>
      </c>
      <c r="I16" s="12">
        <f>IFERROR(H16/B17,0)</f>
        <v/>
      </c>
    </row>
    <row r="17" ht="22" customHeight="1">
      <c r="A17" s="4" t="inlineStr">
        <is>
          <t>FX</t>
        </is>
      </c>
      <c r="B17" s="6">
        <f>'01_Input_Assumptions'!B6</f>
        <v/>
      </c>
      <c r="C17" s="6">
        <f>'01_Input_Assumptions'!B6</f>
        <v/>
      </c>
      <c r="D17" s="4" t="inlineStr">
        <is>
          <t>RMB/USD</t>
        </is>
      </c>
      <c r="F17" s="4" t="inlineStr">
        <is>
          <t>Net Margin</t>
        </is>
      </c>
      <c r="G17" s="12">
        <f>G9+G10-G16</f>
        <v/>
      </c>
      <c r="H17" s="12">
        <f>H9+H10-H16</f>
        <v/>
      </c>
      <c r="I17" s="12">
        <f>IFERROR(H17/B17,0)</f>
        <v/>
      </c>
    </row>
    <row r="18" ht="22" customHeight="1">
      <c r="A18" s="4" t="inlineStr">
        <is>
          <t>EXW Purchase Price</t>
        </is>
      </c>
      <c r="B18" s="6">
        <f>'01_Input_Assumptions'!F17</f>
        <v/>
      </c>
      <c r="C18" s="6">
        <f>'01_Input_Assumptions'!F17</f>
        <v/>
      </c>
      <c r="D18" s="4" t="inlineStr">
        <is>
          <t>USD</t>
        </is>
      </c>
      <c r="F18" s="4" t="inlineStr">
        <is>
          <t>Margin / DMT</t>
        </is>
      </c>
      <c r="G18" s="12">
        <f>IFERROR(G17/B11,0)</f>
        <v/>
      </c>
      <c r="H18" s="12">
        <f>IFERROR(H17/C11,0)</f>
        <v/>
      </c>
      <c r="I18" s="12">
        <f>IFERROR(I17/B11,0)</f>
        <v/>
      </c>
    </row>
    <row r="19" ht="22" customHeight="1">
      <c r="A19" s="4" t="inlineStr">
        <is>
          <t>Equivalent FOB Price</t>
        </is>
      </c>
      <c r="B19" s="7">
        <f>(B18+(B9*'03_Logistics_Cost'!C19+B9*'03_Logistics_Cost'!D19+B11*'03_Logistics_Cost'!E19+'03_Logistics_Cost'!F19)/B11)*(1+'03_Logistics_Cost'!H19)</f>
        <v/>
      </c>
      <c r="C19" s="7">
        <f>(G18+(G9*'03_Logistics_Cost'!C19*B17+G9*'03_Logistics_Cost'!D19*B17+G11*'03_Logistics_Cost'!E19*B17+'03_Logistics_Cost'!F19*B17)/G11)*(1+'03_Logistics_Cost'!H19)</f>
        <v/>
      </c>
      <c r="D19" s="4" t="inlineStr">
        <is>
          <t>USD</t>
        </is>
      </c>
      <c r="F19" s="4" t="inlineStr">
        <is>
          <t>Gross Margin %</t>
        </is>
      </c>
      <c r="G19" s="13">
        <f>IFERROR(G17/(G9+G10),0)</f>
        <v/>
      </c>
      <c r="H19" s="13">
        <f>IFERROR(H17/(H9+H10),0)</f>
        <v/>
      </c>
      <c r="I19" s="13">
        <f>IFERROR(I17/(I9+I10),0)</f>
        <v/>
      </c>
    </row>
    <row r="20" ht="22" customHeight="1">
      <c r="A20" s="4" t="inlineStr">
        <is>
          <t>Actual FOB Offer</t>
        </is>
      </c>
      <c r="B20" s="6">
        <f>'01_Input_Assumptions'!AA17</f>
        <v/>
      </c>
      <c r="C20" s="6">
        <f>'01_Input_Assumptions'!AA17</f>
        <v/>
      </c>
      <c r="D20" s="4" t="inlineStr">
        <is>
          <t>USD</t>
        </is>
      </c>
      <c r="F20" s="4" t="inlineStr">
        <is>
          <t>Recommended Market</t>
        </is>
      </c>
      <c r="G20" s="11">
        <f>IF(MAX(G18,I18)=0,"Check Inputs",IF(G18&gt;I18,"International","Domestic"))</f>
        <v/>
      </c>
      <c r="H20" s="11" t="inlineStr"/>
      <c r="I20" s="11" t="inlineStr"/>
    </row>
    <row r="21" ht="22" customHeight="1">
      <c r="A21" s="4" t="inlineStr">
        <is>
          <t>Purchase Basis</t>
        </is>
      </c>
      <c r="B21" s="6">
        <f>'01_Input_Assumptions'!G17&amp;" / "&amp;'01_Input_Assumptions'!B17</f>
        <v/>
      </c>
      <c r="C21" s="6">
        <f>'01_Input_Assumptions'!G17&amp;" / "&amp;'01_Input_Assumptions'!B17</f>
        <v/>
      </c>
      <c r="D21" s="4" t="inlineStr">
        <is>
          <t>-</t>
        </is>
      </c>
    </row>
    <row r="22" ht="22" customHeight="1"/>
    <row r="23" ht="22" customHeight="1">
      <c r="A23" s="5" t="inlineStr">
        <is>
          <t>WO3 - 钨矿模型</t>
        </is>
      </c>
      <c r="F23" s="5" t="inlineStr">
        <is>
          <t>WO3 P&amp;L</t>
        </is>
      </c>
    </row>
    <row r="24" ht="22" customHeight="1">
      <c r="A24" s="14" t="inlineStr">
        <is>
          <t>International and domestic route inputs share the same physical assumptions</t>
        </is>
      </c>
      <c r="F24" s="14" t="inlineStr">
        <is>
          <t>International USD, domestic RMB, and domestic USD equivalent</t>
        </is>
      </c>
    </row>
    <row r="25" ht="22" customHeight="1"/>
    <row r="26" ht="22" customHeight="1">
      <c r="A26" s="3" t="inlineStr">
        <is>
          <t>Input / Calc</t>
        </is>
      </c>
      <c r="B26" s="3" t="inlineStr">
        <is>
          <t>International</t>
        </is>
      </c>
      <c r="C26" s="3" t="inlineStr">
        <is>
          <t>Domestic</t>
        </is>
      </c>
      <c r="D26" s="3" t="inlineStr">
        <is>
          <t>Unit</t>
        </is>
      </c>
      <c r="F26" s="3" t="inlineStr">
        <is>
          <t>Calculation</t>
        </is>
      </c>
      <c r="G26" s="3" t="inlineStr">
        <is>
          <t>International USD</t>
        </is>
      </c>
      <c r="H26" s="3" t="inlineStr">
        <is>
          <t>Domestic RMB</t>
        </is>
      </c>
      <c r="I26" s="3" t="inlineStr">
        <is>
          <t>Domestic USD</t>
        </is>
      </c>
    </row>
    <row r="27" ht="22" customHeight="1">
      <c r="A27" s="4" t="inlineStr">
        <is>
          <t>Commodity</t>
        </is>
      </c>
      <c r="B27" s="7">
        <f>'01_Input_Assumptions'!A18</f>
        <v/>
      </c>
      <c r="C27" s="7">
        <f>'01_Input_Assumptions'!A18</f>
        <v/>
      </c>
      <c r="D27" s="4" t="inlineStr">
        <is>
          <t>-</t>
        </is>
      </c>
      <c r="F27" s="4" t="inlineStr">
        <is>
          <t>Revenue / DMT</t>
        </is>
      </c>
      <c r="G27" s="12">
        <f>(B31+'04_Settlement_Adjustments'!D16)*100*B32*(B33+'04_Settlement_Adjustments'!F16)-B34-B35-'04_Settlement_Adjustments'!G16</f>
        <v/>
      </c>
      <c r="H27" s="12">
        <f>(C31+'04_Settlement_Adjustments'!D16)*100*C32*(C33+'04_Settlement_Adjustments'!F16)-C34-C35-'04_Settlement_Adjustments'!H16</f>
        <v/>
      </c>
      <c r="I27" s="12">
        <f>IFERROR(H27/B36,0)</f>
        <v/>
      </c>
    </row>
    <row r="28" ht="22" customHeight="1">
      <c r="A28" s="4" t="inlineStr">
        <is>
          <t>WMT_Qty</t>
        </is>
      </c>
      <c r="B28" s="6">
        <f>'01_Input_Assumptions'!C18</f>
        <v/>
      </c>
      <c r="C28" s="6">
        <f>'01_Input_Assumptions'!C18</f>
        <v/>
      </c>
      <c r="D28" s="4" t="inlineStr">
        <is>
          <t>WMT</t>
        </is>
      </c>
      <c r="F28" s="4" t="inlineStr">
        <is>
          <t>Sales Revenue</t>
        </is>
      </c>
      <c r="G28" s="12">
        <f>G27*B30</f>
        <v/>
      </c>
      <c r="H28" s="12">
        <f>H27*C30</f>
        <v/>
      </c>
      <c r="I28" s="12">
        <f>IFERROR(H28/B36,0)</f>
        <v/>
      </c>
    </row>
    <row r="29" ht="22" customHeight="1">
      <c r="A29" s="4" t="inlineStr">
        <is>
          <t>Moisture</t>
        </is>
      </c>
      <c r="B29" s="9">
        <f>'01_Input_Assumptions'!D18</f>
        <v/>
      </c>
      <c r="C29" s="9">
        <f>'01_Input_Assumptions'!D18</f>
        <v/>
      </c>
      <c r="D29" s="4" t="inlineStr">
        <is>
          <t>%</t>
        </is>
      </c>
      <c r="F29" s="4" t="inlineStr">
        <is>
          <t>Byproduct Credits</t>
        </is>
      </c>
      <c r="G29" s="12">
        <f>'04_Settlement_Adjustments'!H25*B30</f>
        <v/>
      </c>
      <c r="H29" s="12">
        <f>'04_Settlement_Adjustments'!I25*C30</f>
        <v/>
      </c>
      <c r="I29" s="12">
        <f>IFERROR(H29/B36,0)</f>
        <v/>
      </c>
    </row>
    <row r="30" ht="22" customHeight="1">
      <c r="A30" s="4" t="inlineStr">
        <is>
          <t>DMT_Qty</t>
        </is>
      </c>
      <c r="B30" s="6">
        <f>B28*(1-B29)</f>
        <v/>
      </c>
      <c r="C30" s="6">
        <f>C28*(1-C29)</f>
        <v/>
      </c>
      <c r="D30" s="4" t="inlineStr">
        <is>
          <t>DMT</t>
        </is>
      </c>
      <c r="F30" s="4" t="inlineStr">
        <is>
          <t>Purchase Cost Total</t>
        </is>
      </c>
      <c r="G30" s="12">
        <f>IF('03_Logistics_Cost'!B20="FOB", B30*B31*100*B39, B30*B31*100*B37)</f>
        <v/>
      </c>
      <c r="H30" s="12">
        <f>G30*B36</f>
        <v/>
      </c>
      <c r="I30" s="12">
        <f>IFERROR(H30/B36,0)</f>
        <v/>
      </c>
    </row>
    <row r="31" ht="22" customHeight="1">
      <c r="A31" s="4" t="inlineStr">
        <is>
          <t>Grade</t>
        </is>
      </c>
      <c r="B31" s="9">
        <f>'01_Input_Assumptions'!E18</f>
        <v/>
      </c>
      <c r="C31" s="9">
        <f>'01_Input_Assumptions'!E18</f>
        <v/>
      </c>
      <c r="D31" s="4" t="inlineStr">
        <is>
          <t>%</t>
        </is>
      </c>
      <c r="F31" s="4" t="inlineStr">
        <is>
          <t>Logistics Base</t>
        </is>
      </c>
      <c r="G31" s="12">
        <f>'03_Logistics_Cost'!Q20</f>
        <v/>
      </c>
      <c r="H31" s="12">
        <f>G31*B36</f>
        <v/>
      </c>
      <c r="I31" s="12">
        <f>IFERROR(H31/B36,0)</f>
        <v/>
      </c>
    </row>
    <row r="32" ht="22" customHeight="1">
      <c r="A32" s="4" t="inlineStr">
        <is>
          <t>Benchmark Price</t>
        </is>
      </c>
      <c r="B32" s="6">
        <f>'01_Input_Assumptions'!L18</f>
        <v/>
      </c>
      <c r="C32" s="6">
        <f>'01_Input_Assumptions'!T18</f>
        <v/>
      </c>
      <c r="D32" s="4" t="inlineStr">
        <is>
          <t>Index</t>
        </is>
      </c>
      <c r="F32" s="4" t="inlineStr">
        <is>
          <t>Value Based Fees</t>
        </is>
      </c>
      <c r="G32" s="12">
        <f>(G30 + B28*'03_Logistics_Cost'!L20 + B28*'03_Logistics_Cost'!M20 + B30*'03_Logistics_Cost'!N20 + '03_Logistics_Cost'!O20)*'03_Logistics_Cost'!P20 + G28*IF('01_Input_Assumptions'!G35="Yes",'03_Logistics_Cost'!I20,0)</f>
        <v/>
      </c>
      <c r="H32" s="12">
        <f>(H30 + C28*'03_Logistics_Cost'!L20*B36 + C28*'03_Logistics_Cost'!M20*B36 + C30*'03_Logistics_Cost'!N20*B36 + '03_Logistics_Cost'!O20*B36)*'03_Logistics_Cost'!P20 + H28*IF('01_Input_Assumptions'!G35="Yes",'03_Logistics_Cost'!I20,0)</f>
        <v/>
      </c>
      <c r="I32" s="12">
        <f>IFERROR(H32/B36,0)</f>
        <v/>
      </c>
    </row>
    <row r="33" ht="22" customHeight="1">
      <c r="A33" s="4" t="inlineStr">
        <is>
          <t>Payability</t>
        </is>
      </c>
      <c r="B33" s="9">
        <f>'01_Input_Assumptions'!M18</f>
        <v/>
      </c>
      <c r="C33" s="9">
        <f>'01_Input_Assumptions'!U18</f>
        <v/>
      </c>
      <c r="D33" s="4" t="inlineStr">
        <is>
          <t>%</t>
        </is>
      </c>
      <c r="F33" s="4" t="inlineStr">
        <is>
          <t>TC/RC Adjustment</t>
        </is>
      </c>
      <c r="G33" s="12">
        <f>'03_Logistics_Cost'!K20*B30</f>
        <v/>
      </c>
      <c r="H33" s="12">
        <f>G33*B36</f>
        <v/>
      </c>
      <c r="I33" s="12">
        <f>IFERROR(H33/B36,0)</f>
        <v/>
      </c>
    </row>
    <row r="34" ht="22" customHeight="1">
      <c r="A34" s="4" t="inlineStr">
        <is>
          <t>Treatment Charge</t>
        </is>
      </c>
      <c r="B34" s="6">
        <f>'01_Input_Assumptions'!N18</f>
        <v/>
      </c>
      <c r="C34" s="6">
        <f>'01_Input_Assumptions'!V18</f>
        <v/>
      </c>
      <c r="D34" s="4" t="inlineStr">
        <is>
          <t>USD/RMB per DMT</t>
        </is>
      </c>
      <c r="F34" s="4" t="inlineStr">
        <is>
          <t>Contingency</t>
        </is>
      </c>
      <c r="G34" s="12">
        <f>IF('03_Logistics_Cost'!B20="FOB",0,(G30+G31+G32+G33)*'03_Logistics_Cost'!J20)</f>
        <v/>
      </c>
      <c r="H34" s="12">
        <f>IF('03_Logistics_Cost'!B20="FOB",0,(H30+H31+H32+H33)*'03_Logistics_Cost'!J20)</f>
        <v/>
      </c>
      <c r="I34" s="12">
        <f>IFERROR(H34/B36,0)</f>
        <v/>
      </c>
    </row>
    <row r="35" ht="22" customHeight="1">
      <c r="A35" s="4" t="inlineStr">
        <is>
          <t>Penalty</t>
        </is>
      </c>
      <c r="B35" s="6">
        <f>'01_Input_Assumptions'!L26</f>
        <v/>
      </c>
      <c r="C35" s="6">
        <f>'01_Input_Assumptions'!L26*B36</f>
        <v/>
      </c>
      <c r="D35" s="4" t="inlineStr">
        <is>
          <t>USD/RMB per DMT</t>
        </is>
      </c>
      <c r="F35" s="4" t="inlineStr">
        <is>
          <t>Total Cost</t>
        </is>
      </c>
      <c r="G35" s="12">
        <f>SUM(G30:G34)</f>
        <v/>
      </c>
      <c r="H35" s="12">
        <f>SUM(H30:H34)</f>
        <v/>
      </c>
      <c r="I35" s="12">
        <f>IFERROR(H35/B36,0)</f>
        <v/>
      </c>
    </row>
    <row r="36" ht="22" customHeight="1">
      <c r="A36" s="4" t="inlineStr">
        <is>
          <t>FX</t>
        </is>
      </c>
      <c r="B36" s="6">
        <f>'01_Input_Assumptions'!B6</f>
        <v/>
      </c>
      <c r="C36" s="6">
        <f>'01_Input_Assumptions'!B6</f>
        <v/>
      </c>
      <c r="D36" s="4" t="inlineStr">
        <is>
          <t>RMB/USD</t>
        </is>
      </c>
      <c r="F36" s="4" t="inlineStr">
        <is>
          <t>Net Margin</t>
        </is>
      </c>
      <c r="G36" s="12">
        <f>G28+G29-G35</f>
        <v/>
      </c>
      <c r="H36" s="12">
        <f>H28+H29-H35</f>
        <v/>
      </c>
      <c r="I36" s="12">
        <f>IFERROR(H36/B36,0)</f>
        <v/>
      </c>
    </row>
    <row r="37" ht="22" customHeight="1">
      <c r="A37" s="4" t="inlineStr">
        <is>
          <t>EXW Purchase Price</t>
        </is>
      </c>
      <c r="B37" s="6">
        <f>'01_Input_Assumptions'!F18</f>
        <v/>
      </c>
      <c r="C37" s="6">
        <f>'01_Input_Assumptions'!F18</f>
        <v/>
      </c>
      <c r="D37" s="4" t="inlineStr">
        <is>
          <t>USD</t>
        </is>
      </c>
      <c r="F37" s="4" t="inlineStr">
        <is>
          <t>Margin / DMT</t>
        </is>
      </c>
      <c r="G37" s="12">
        <f>IFERROR(G36/B30,0)</f>
        <v/>
      </c>
      <c r="H37" s="12">
        <f>IFERROR(H36/C30,0)</f>
        <v/>
      </c>
      <c r="I37" s="12">
        <f>IFERROR(I36/B30,0)</f>
        <v/>
      </c>
    </row>
    <row r="38" ht="22" customHeight="1">
      <c r="A38" s="4" t="inlineStr">
        <is>
          <t>Equivalent FOB Price</t>
        </is>
      </c>
      <c r="B38" s="7">
        <f>(B37+(B28*'03_Logistics_Cost'!C20+B28*'03_Logistics_Cost'!D20+B30*'03_Logistics_Cost'!E20+'03_Logistics_Cost'!F20)/(B30*B31*100))*(1+'03_Logistics_Cost'!H20)</f>
        <v/>
      </c>
      <c r="C38" s="7">
        <f>(G37+(G28*'03_Logistics_Cost'!C20*B36+G28*'03_Logistics_Cost'!D20*B36+G30*'03_Logistics_Cost'!E20*B36+'03_Logistics_Cost'!F20*B36)/(G30*G31*100))*(1+'03_Logistics_Cost'!H20)</f>
        <v/>
      </c>
      <c r="D38" s="4" t="inlineStr">
        <is>
          <t>USD</t>
        </is>
      </c>
      <c r="F38" s="4" t="inlineStr">
        <is>
          <t>Gross Margin %</t>
        </is>
      </c>
      <c r="G38" s="13">
        <f>IFERROR(G36/(G28+G29),0)</f>
        <v/>
      </c>
      <c r="H38" s="13">
        <f>IFERROR(H36/(H28+H29),0)</f>
        <v/>
      </c>
      <c r="I38" s="13">
        <f>IFERROR(I36/(I28+I29),0)</f>
        <v/>
      </c>
    </row>
    <row r="39" ht="22" customHeight="1">
      <c r="A39" s="4" t="inlineStr">
        <is>
          <t>Actual FOB Offer</t>
        </is>
      </c>
      <c r="B39" s="6">
        <f>'01_Input_Assumptions'!AA18</f>
        <v/>
      </c>
      <c r="C39" s="6">
        <f>'01_Input_Assumptions'!AA18</f>
        <v/>
      </c>
      <c r="D39" s="4" t="inlineStr">
        <is>
          <t>USD</t>
        </is>
      </c>
      <c r="F39" s="4" t="inlineStr">
        <is>
          <t>Recommended Market</t>
        </is>
      </c>
      <c r="G39" s="11">
        <f>IF(MAX(G37,I37)=0,"Check Inputs",IF(G37&gt;I37,"International","Domestic"))</f>
        <v/>
      </c>
      <c r="H39" s="11" t="inlineStr"/>
      <c r="I39" s="11" t="inlineStr"/>
    </row>
    <row r="40" ht="22" customHeight="1">
      <c r="A40" s="4" t="inlineStr">
        <is>
          <t>Purchase Basis</t>
        </is>
      </c>
      <c r="B40" s="6">
        <f>'01_Input_Assumptions'!G18&amp;" / "&amp;'01_Input_Assumptions'!B18</f>
        <v/>
      </c>
      <c r="C40" s="6">
        <f>'01_Input_Assumptions'!G18&amp;" / "&amp;'01_Input_Assumptions'!B18</f>
        <v/>
      </c>
      <c r="D40" s="4" t="inlineStr">
        <is>
          <t>-</t>
        </is>
      </c>
    </row>
    <row r="41" ht="22" customHeight="1"/>
    <row r="42" ht="22" customHeight="1">
      <c r="A42" s="5" t="inlineStr">
        <is>
          <t>Li2O - 锂矿模型</t>
        </is>
      </c>
      <c r="F42" s="5" t="inlineStr">
        <is>
          <t>Li2O P&amp;L</t>
        </is>
      </c>
    </row>
    <row r="43" ht="22" customHeight="1">
      <c r="A43" s="14" t="inlineStr">
        <is>
          <t>International and domestic route inputs share the same physical assumptions</t>
        </is>
      </c>
      <c r="F43" s="14" t="inlineStr">
        <is>
          <t>International USD, domestic RMB, and domestic USD equivalent</t>
        </is>
      </c>
    </row>
    <row r="44" ht="22" customHeight="1"/>
    <row r="45" ht="22" customHeight="1">
      <c r="A45" s="3" t="inlineStr">
        <is>
          <t>Input / Calc</t>
        </is>
      </c>
      <c r="B45" s="3" t="inlineStr">
        <is>
          <t>International</t>
        </is>
      </c>
      <c r="C45" s="3" t="inlineStr">
        <is>
          <t>Domestic</t>
        </is>
      </c>
      <c r="D45" s="3" t="inlineStr">
        <is>
          <t>Unit</t>
        </is>
      </c>
      <c r="F45" s="3" t="inlineStr">
        <is>
          <t>Calculation</t>
        </is>
      </c>
      <c r="G45" s="3" t="inlineStr">
        <is>
          <t>International USD</t>
        </is>
      </c>
      <c r="H45" s="3" t="inlineStr">
        <is>
          <t>Domestic RMB</t>
        </is>
      </c>
      <c r="I45" s="3" t="inlineStr">
        <is>
          <t>Domestic USD</t>
        </is>
      </c>
    </row>
    <row r="46" ht="22" customHeight="1">
      <c r="A46" s="4" t="inlineStr">
        <is>
          <t>Commodity</t>
        </is>
      </c>
      <c r="B46" s="7">
        <f>'01_Input_Assumptions'!A19</f>
        <v/>
      </c>
      <c r="C46" s="7">
        <f>'01_Input_Assumptions'!A19</f>
        <v/>
      </c>
      <c r="D46" s="4" t="inlineStr">
        <is>
          <t>-</t>
        </is>
      </c>
      <c r="F46" s="4" t="inlineStr">
        <is>
          <t>Revenue / DMT</t>
        </is>
      </c>
      <c r="G46" s="12">
        <f>B51*((B50+'04_Settlement_Adjustments'!D17)/0.06)*(B52+'04_Settlement_Adjustments'!F17)-B53-B54-'04_Settlement_Adjustments'!G17</f>
        <v/>
      </c>
      <c r="H46" s="12">
        <f>C51*((C50+'04_Settlement_Adjustments'!D17)/0.06)*(C52+'04_Settlement_Adjustments'!F17)-C53-C54-'04_Settlement_Adjustments'!H17</f>
        <v/>
      </c>
      <c r="I46" s="12">
        <f>IFERROR(H46/B55,0)</f>
        <v/>
      </c>
    </row>
    <row r="47" ht="22" customHeight="1">
      <c r="A47" s="4" t="inlineStr">
        <is>
          <t>WMT_Qty</t>
        </is>
      </c>
      <c r="B47" s="6">
        <f>'01_Input_Assumptions'!C19</f>
        <v/>
      </c>
      <c r="C47" s="6">
        <f>'01_Input_Assumptions'!C19</f>
        <v/>
      </c>
      <c r="D47" s="4" t="inlineStr">
        <is>
          <t>WMT</t>
        </is>
      </c>
      <c r="F47" s="4" t="inlineStr">
        <is>
          <t>Sales Revenue</t>
        </is>
      </c>
      <c r="G47" s="12">
        <f>G46*B49</f>
        <v/>
      </c>
      <c r="H47" s="12">
        <f>H46*C49</f>
        <v/>
      </c>
      <c r="I47" s="12">
        <f>IFERROR(H47/B55,0)</f>
        <v/>
      </c>
    </row>
    <row r="48" ht="22" customHeight="1">
      <c r="A48" s="4" t="inlineStr">
        <is>
          <t>Moisture</t>
        </is>
      </c>
      <c r="B48" s="9">
        <f>'01_Input_Assumptions'!D19</f>
        <v/>
      </c>
      <c r="C48" s="9">
        <f>'01_Input_Assumptions'!D19</f>
        <v/>
      </c>
      <c r="D48" s="4" t="inlineStr">
        <is>
          <t>%</t>
        </is>
      </c>
      <c r="F48" s="4" t="inlineStr">
        <is>
          <t>Byproduct Credits</t>
        </is>
      </c>
      <c r="G48" s="12">
        <f>'04_Settlement_Adjustments'!H26*B49</f>
        <v/>
      </c>
      <c r="H48" s="12">
        <f>'04_Settlement_Adjustments'!I26*C49</f>
        <v/>
      </c>
      <c r="I48" s="12">
        <f>IFERROR(H48/B55,0)</f>
        <v/>
      </c>
    </row>
    <row r="49" ht="22" customHeight="1">
      <c r="A49" s="4" t="inlineStr">
        <is>
          <t>DMT_Qty</t>
        </is>
      </c>
      <c r="B49" s="6">
        <f>B47*(1-B48)</f>
        <v/>
      </c>
      <c r="C49" s="6">
        <f>C47*(1-C48)</f>
        <v/>
      </c>
      <c r="D49" s="4" t="inlineStr">
        <is>
          <t>DMT</t>
        </is>
      </c>
      <c r="F49" s="4" t="inlineStr">
        <is>
          <t>Purchase Cost Total</t>
        </is>
      </c>
      <c r="G49" s="12">
        <f>IF('03_Logistics_Cost'!B21="FOB", B49*B58, B49*B56)</f>
        <v/>
      </c>
      <c r="H49" s="12">
        <f>G49*B55</f>
        <v/>
      </c>
      <c r="I49" s="12">
        <f>IFERROR(H49/B55,0)</f>
        <v/>
      </c>
    </row>
    <row r="50" ht="22" customHeight="1">
      <c r="A50" s="4" t="inlineStr">
        <is>
          <t>Grade</t>
        </is>
      </c>
      <c r="B50" s="9">
        <f>'01_Input_Assumptions'!E19</f>
        <v/>
      </c>
      <c r="C50" s="9">
        <f>'01_Input_Assumptions'!E19</f>
        <v/>
      </c>
      <c r="D50" s="4" t="inlineStr">
        <is>
          <t>%</t>
        </is>
      </c>
      <c r="F50" s="4" t="inlineStr">
        <is>
          <t>Logistics Base</t>
        </is>
      </c>
      <c r="G50" s="12">
        <f>'03_Logistics_Cost'!Q21</f>
        <v/>
      </c>
      <c r="H50" s="12">
        <f>G50*B55</f>
        <v/>
      </c>
      <c r="I50" s="12">
        <f>IFERROR(H50/B55,0)</f>
        <v/>
      </c>
    </row>
    <row r="51" ht="22" customHeight="1">
      <c r="A51" s="4" t="inlineStr">
        <is>
          <t>Benchmark Price</t>
        </is>
      </c>
      <c r="B51" s="6">
        <f>'01_Input_Assumptions'!L19</f>
        <v/>
      </c>
      <c r="C51" s="6">
        <f>'01_Input_Assumptions'!T19</f>
        <v/>
      </c>
      <c r="D51" s="4" t="inlineStr">
        <is>
          <t>Index</t>
        </is>
      </c>
      <c r="F51" s="4" t="inlineStr">
        <is>
          <t>Value Based Fees</t>
        </is>
      </c>
      <c r="G51" s="12">
        <f>(G49 + B47*'03_Logistics_Cost'!L21 + B47*'03_Logistics_Cost'!M21 + B49*'03_Logistics_Cost'!N21 + '03_Logistics_Cost'!O21)*'03_Logistics_Cost'!P21 + G47*IF('01_Input_Assumptions'!G36="Yes",'03_Logistics_Cost'!I21,0)</f>
        <v/>
      </c>
      <c r="H51" s="12">
        <f>(H49 + C47*'03_Logistics_Cost'!L21*B55 + C47*'03_Logistics_Cost'!M21*B55 + C49*'03_Logistics_Cost'!N21*B55 + '03_Logistics_Cost'!O21*B55)*'03_Logistics_Cost'!P21 + H47*IF('01_Input_Assumptions'!G36="Yes",'03_Logistics_Cost'!I21,0)</f>
        <v/>
      </c>
      <c r="I51" s="12">
        <f>IFERROR(H51/B55,0)</f>
        <v/>
      </c>
    </row>
    <row r="52" ht="22" customHeight="1">
      <c r="A52" s="4" t="inlineStr">
        <is>
          <t>Payability</t>
        </is>
      </c>
      <c r="B52" s="9">
        <f>'01_Input_Assumptions'!M19</f>
        <v/>
      </c>
      <c r="C52" s="9">
        <f>'01_Input_Assumptions'!U19</f>
        <v/>
      </c>
      <c r="D52" s="4" t="inlineStr">
        <is>
          <t>%</t>
        </is>
      </c>
      <c r="F52" s="4" t="inlineStr">
        <is>
          <t>TC/RC Adjustment</t>
        </is>
      </c>
      <c r="G52" s="12">
        <f>'03_Logistics_Cost'!K21*B49</f>
        <v/>
      </c>
      <c r="H52" s="12">
        <f>G52*B55</f>
        <v/>
      </c>
      <c r="I52" s="12">
        <f>IFERROR(H52/B55,0)</f>
        <v/>
      </c>
    </row>
    <row r="53" ht="22" customHeight="1">
      <c r="A53" s="4" t="inlineStr">
        <is>
          <t>Treatment Charge</t>
        </is>
      </c>
      <c r="B53" s="6">
        <f>'01_Input_Assumptions'!N19</f>
        <v/>
      </c>
      <c r="C53" s="6">
        <f>'01_Input_Assumptions'!V19</f>
        <v/>
      </c>
      <c r="D53" s="4" t="inlineStr">
        <is>
          <t>USD/RMB per DMT</t>
        </is>
      </c>
      <c r="F53" s="4" t="inlineStr">
        <is>
          <t>Contingency</t>
        </is>
      </c>
      <c r="G53" s="12">
        <f>IF('03_Logistics_Cost'!B21="FOB",0,(G49+G50+G51+G52)*'03_Logistics_Cost'!J21)</f>
        <v/>
      </c>
      <c r="H53" s="12">
        <f>IF('03_Logistics_Cost'!B21="FOB",0,(H49+H50+H51+H52)*'03_Logistics_Cost'!J21)</f>
        <v/>
      </c>
      <c r="I53" s="12">
        <f>IFERROR(H53/B55,0)</f>
        <v/>
      </c>
    </row>
    <row r="54" ht="22" customHeight="1">
      <c r="A54" s="4" t="inlineStr">
        <is>
          <t>Penalty</t>
        </is>
      </c>
      <c r="B54" s="6">
        <f>'01_Input_Assumptions'!L27</f>
        <v/>
      </c>
      <c r="C54" s="6">
        <f>'01_Input_Assumptions'!L27*B55</f>
        <v/>
      </c>
      <c r="D54" s="4" t="inlineStr">
        <is>
          <t>USD/RMB per DMT</t>
        </is>
      </c>
      <c r="F54" s="4" t="inlineStr">
        <is>
          <t>Total Cost</t>
        </is>
      </c>
      <c r="G54" s="12">
        <f>SUM(G49:G53)</f>
        <v/>
      </c>
      <c r="H54" s="12">
        <f>SUM(H49:H53)</f>
        <v/>
      </c>
      <c r="I54" s="12">
        <f>IFERROR(H54/B55,0)</f>
        <v/>
      </c>
    </row>
    <row r="55" ht="22" customHeight="1">
      <c r="A55" s="4" t="inlineStr">
        <is>
          <t>FX</t>
        </is>
      </c>
      <c r="B55" s="6">
        <f>'01_Input_Assumptions'!B6</f>
        <v/>
      </c>
      <c r="C55" s="6">
        <f>'01_Input_Assumptions'!B6</f>
        <v/>
      </c>
      <c r="D55" s="4" t="inlineStr">
        <is>
          <t>RMB/USD</t>
        </is>
      </c>
      <c r="F55" s="4" t="inlineStr">
        <is>
          <t>Net Margin</t>
        </is>
      </c>
      <c r="G55" s="12">
        <f>G47+G48-G54</f>
        <v/>
      </c>
      <c r="H55" s="12">
        <f>H47+H48-H54</f>
        <v/>
      </c>
      <c r="I55" s="12">
        <f>IFERROR(H55/B55,0)</f>
        <v/>
      </c>
    </row>
    <row r="56" ht="22" customHeight="1">
      <c r="A56" s="4" t="inlineStr">
        <is>
          <t>EXW Purchase Price</t>
        </is>
      </c>
      <c r="B56" s="6">
        <f>'01_Input_Assumptions'!F19</f>
        <v/>
      </c>
      <c r="C56" s="6">
        <f>'01_Input_Assumptions'!F19</f>
        <v/>
      </c>
      <c r="D56" s="4" t="inlineStr">
        <is>
          <t>USD</t>
        </is>
      </c>
      <c r="F56" s="4" t="inlineStr">
        <is>
          <t>Margin / DMT</t>
        </is>
      </c>
      <c r="G56" s="12">
        <f>IFERROR(G55/B49,0)</f>
        <v/>
      </c>
      <c r="H56" s="12">
        <f>IFERROR(H55/C49,0)</f>
        <v/>
      </c>
      <c r="I56" s="12">
        <f>IFERROR(I55/B49,0)</f>
        <v/>
      </c>
    </row>
    <row r="57" ht="22" customHeight="1">
      <c r="A57" s="4" t="inlineStr">
        <is>
          <t>Equivalent FOB Price</t>
        </is>
      </c>
      <c r="B57" s="7">
        <f>(B56+(B47*'03_Logistics_Cost'!C21+B47*'03_Logistics_Cost'!D21+B49*'03_Logistics_Cost'!E21+'03_Logistics_Cost'!F21)/B49)*(1+'03_Logistics_Cost'!H21)</f>
        <v/>
      </c>
      <c r="C57" s="7">
        <f>(G56+(G47*'03_Logistics_Cost'!C21*B55+G47*'03_Logistics_Cost'!D21*B55+G49*'03_Logistics_Cost'!E21*B55+'03_Logistics_Cost'!F21*B55)/G49)*(1+'03_Logistics_Cost'!H21)</f>
        <v/>
      </c>
      <c r="D57" s="4" t="inlineStr">
        <is>
          <t>USD</t>
        </is>
      </c>
      <c r="F57" s="4" t="inlineStr">
        <is>
          <t>Gross Margin %</t>
        </is>
      </c>
      <c r="G57" s="13">
        <f>IFERROR(G55/(G47+G48),0)</f>
        <v/>
      </c>
      <c r="H57" s="13">
        <f>IFERROR(H55/(H47+H48),0)</f>
        <v/>
      </c>
      <c r="I57" s="13">
        <f>IFERROR(I55/(I47+I48),0)</f>
        <v/>
      </c>
    </row>
    <row r="58" ht="22" customHeight="1">
      <c r="A58" s="4" t="inlineStr">
        <is>
          <t>Actual FOB Offer</t>
        </is>
      </c>
      <c r="B58" s="6">
        <f>'01_Input_Assumptions'!AA19</f>
        <v/>
      </c>
      <c r="C58" s="6">
        <f>'01_Input_Assumptions'!AA19</f>
        <v/>
      </c>
      <c r="D58" s="4" t="inlineStr">
        <is>
          <t>USD</t>
        </is>
      </c>
      <c r="F58" s="4" t="inlineStr">
        <is>
          <t>Recommended Market</t>
        </is>
      </c>
      <c r="G58" s="11">
        <f>IF(MAX(G56,I56)=0,"Check Inputs",IF(G56&gt;I56,"International","Domestic"))</f>
        <v/>
      </c>
      <c r="H58" s="11" t="inlineStr"/>
      <c r="I58" s="11" t="inlineStr"/>
    </row>
    <row r="59" ht="22" customHeight="1">
      <c r="A59" s="4" t="inlineStr">
        <is>
          <t>Purchase Basis</t>
        </is>
      </c>
      <c r="B59" s="6">
        <f>'01_Input_Assumptions'!G19&amp;" / "&amp;'01_Input_Assumptions'!B19</f>
        <v/>
      </c>
      <c r="C59" s="6">
        <f>'01_Input_Assumptions'!G19&amp;" / "&amp;'01_Input_Assumptions'!B19</f>
        <v/>
      </c>
      <c r="D59" s="4" t="inlineStr">
        <is>
          <t>-</t>
        </is>
      </c>
    </row>
    <row r="60" ht="22" customHeight="1"/>
    <row r="61" ht="22" customHeight="1">
      <c r="A61" s="5" t="inlineStr">
        <is>
          <t>Cu - 铜精矿模型</t>
        </is>
      </c>
      <c r="F61" s="5" t="inlineStr">
        <is>
          <t>Cu P&amp;L</t>
        </is>
      </c>
    </row>
    <row r="62" ht="22" customHeight="1">
      <c r="A62" s="14" t="inlineStr">
        <is>
          <t>International and domestic route inputs share the same physical assumptions</t>
        </is>
      </c>
      <c r="F62" s="14" t="inlineStr">
        <is>
          <t>International USD, domestic RMB, and domestic USD equivalent</t>
        </is>
      </c>
    </row>
    <row r="63" ht="22" customHeight="1"/>
    <row r="64" ht="22" customHeight="1">
      <c r="A64" s="3" t="inlineStr">
        <is>
          <t>Input / Calc</t>
        </is>
      </c>
      <c r="B64" s="3" t="inlineStr">
        <is>
          <t>International</t>
        </is>
      </c>
      <c r="C64" s="3" t="inlineStr">
        <is>
          <t>Domestic</t>
        </is>
      </c>
      <c r="D64" s="3" t="inlineStr">
        <is>
          <t>Unit</t>
        </is>
      </c>
      <c r="F64" s="3" t="inlineStr">
        <is>
          <t>Calculation</t>
        </is>
      </c>
      <c r="G64" s="3" t="inlineStr">
        <is>
          <t>International USD</t>
        </is>
      </c>
      <c r="H64" s="3" t="inlineStr">
        <is>
          <t>Domestic RMB</t>
        </is>
      </c>
      <c r="I64" s="3" t="inlineStr">
        <is>
          <t>Domestic USD</t>
        </is>
      </c>
    </row>
    <row r="65" ht="22" customHeight="1">
      <c r="A65" s="4" t="inlineStr">
        <is>
          <t>Commodity</t>
        </is>
      </c>
      <c r="B65" s="7">
        <f>'01_Input_Assumptions'!A20</f>
        <v/>
      </c>
      <c r="C65" s="7">
        <f>'01_Input_Assumptions'!A20</f>
        <v/>
      </c>
      <c r="D65" s="4" t="inlineStr">
        <is>
          <t>-</t>
        </is>
      </c>
      <c r="F65" s="4" t="inlineStr">
        <is>
          <t>Revenue / DMT</t>
        </is>
      </c>
      <c r="G65" s="12">
        <f>(B69+'04_Settlement_Adjustments'!D18)*B70*(B71+'04_Settlement_Adjustments'!F18)-B72-B73-'04_Settlement_Adjustments'!G18</f>
        <v/>
      </c>
      <c r="H65" s="12">
        <f>(C69+'04_Settlement_Adjustments'!D18)*C70*(C71+'04_Settlement_Adjustments'!F18)-C72-C73-'04_Settlement_Adjustments'!H18</f>
        <v/>
      </c>
      <c r="I65" s="12">
        <f>IFERROR(H65/B74,0)</f>
        <v/>
      </c>
    </row>
    <row r="66" ht="22" customHeight="1">
      <c r="A66" s="4" t="inlineStr">
        <is>
          <t>WMT_Qty</t>
        </is>
      </c>
      <c r="B66" s="6">
        <f>'01_Input_Assumptions'!C20</f>
        <v/>
      </c>
      <c r="C66" s="6">
        <f>'01_Input_Assumptions'!C20</f>
        <v/>
      </c>
      <c r="D66" s="4" t="inlineStr">
        <is>
          <t>WMT</t>
        </is>
      </c>
      <c r="F66" s="4" t="inlineStr">
        <is>
          <t>Sales Revenue</t>
        </is>
      </c>
      <c r="G66" s="12">
        <f>G65*B68</f>
        <v/>
      </c>
      <c r="H66" s="12">
        <f>H65*C68</f>
        <v/>
      </c>
      <c r="I66" s="12">
        <f>IFERROR(H66/B74,0)</f>
        <v/>
      </c>
    </row>
    <row r="67" ht="22" customHeight="1">
      <c r="A67" s="4" t="inlineStr">
        <is>
          <t>Moisture</t>
        </is>
      </c>
      <c r="B67" s="9">
        <f>'01_Input_Assumptions'!D20</f>
        <v/>
      </c>
      <c r="C67" s="9">
        <f>'01_Input_Assumptions'!D20</f>
        <v/>
      </c>
      <c r="D67" s="4" t="inlineStr">
        <is>
          <t>%</t>
        </is>
      </c>
      <c r="F67" s="4" t="inlineStr">
        <is>
          <t>Byproduct Credits</t>
        </is>
      </c>
      <c r="G67" s="12">
        <f>'04_Settlement_Adjustments'!H27*B68</f>
        <v/>
      </c>
      <c r="H67" s="12">
        <f>'04_Settlement_Adjustments'!I27*C68</f>
        <v/>
      </c>
      <c r="I67" s="12">
        <f>IFERROR(H67/B74,0)</f>
        <v/>
      </c>
    </row>
    <row r="68" ht="22" customHeight="1">
      <c r="A68" s="4" t="inlineStr">
        <is>
          <t>DMT_Qty</t>
        </is>
      </c>
      <c r="B68" s="6">
        <f>B66*(1-B67)</f>
        <v/>
      </c>
      <c r="C68" s="6">
        <f>C66*(1-C67)</f>
        <v/>
      </c>
      <c r="D68" s="4" t="inlineStr">
        <is>
          <t>DMT</t>
        </is>
      </c>
      <c r="F68" s="4" t="inlineStr">
        <is>
          <t>Purchase Cost Total</t>
        </is>
      </c>
      <c r="G68" s="12">
        <f>IF('03_Logistics_Cost'!B22="FOB", B68*B77, B68*B75)</f>
        <v/>
      </c>
      <c r="H68" s="12">
        <f>G68*B74</f>
        <v/>
      </c>
      <c r="I68" s="12">
        <f>IFERROR(H68/B74,0)</f>
        <v/>
      </c>
    </row>
    <row r="69" ht="22" customHeight="1">
      <c r="A69" s="4" t="inlineStr">
        <is>
          <t>Grade</t>
        </is>
      </c>
      <c r="B69" s="9">
        <f>'01_Input_Assumptions'!E20</f>
        <v/>
      </c>
      <c r="C69" s="9">
        <f>'01_Input_Assumptions'!E20</f>
        <v/>
      </c>
      <c r="D69" s="4" t="inlineStr">
        <is>
          <t>%</t>
        </is>
      </c>
      <c r="F69" s="4" t="inlineStr">
        <is>
          <t>Logistics Base</t>
        </is>
      </c>
      <c r="G69" s="12">
        <f>'03_Logistics_Cost'!Q22</f>
        <v/>
      </c>
      <c r="H69" s="12">
        <f>G69*B74</f>
        <v/>
      </c>
      <c r="I69" s="12">
        <f>IFERROR(H69/B74,0)</f>
        <v/>
      </c>
    </row>
    <row r="70" ht="22" customHeight="1">
      <c r="A70" s="4" t="inlineStr">
        <is>
          <t>Benchmark Price</t>
        </is>
      </c>
      <c r="B70" s="6">
        <f>'01_Input_Assumptions'!L20</f>
        <v/>
      </c>
      <c r="C70" s="6">
        <f>'01_Input_Assumptions'!T20</f>
        <v/>
      </c>
      <c r="D70" s="4" t="inlineStr">
        <is>
          <t>Index</t>
        </is>
      </c>
      <c r="F70" s="4" t="inlineStr">
        <is>
          <t>Value Based Fees</t>
        </is>
      </c>
      <c r="G70" s="12">
        <f>(G68 + B66*'03_Logistics_Cost'!L22 + B66*'03_Logistics_Cost'!M22 + B68*'03_Logistics_Cost'!N22 + '03_Logistics_Cost'!O22)*'03_Logistics_Cost'!P22 + G66*IF('01_Input_Assumptions'!G37="Yes",'03_Logistics_Cost'!I22,0)</f>
        <v/>
      </c>
      <c r="H70" s="12">
        <f>(H68 + C66*'03_Logistics_Cost'!L22*B74 + C66*'03_Logistics_Cost'!M22*B74 + C68*'03_Logistics_Cost'!N22*B74 + '03_Logistics_Cost'!O22*B74)*'03_Logistics_Cost'!P22 + H66*IF('01_Input_Assumptions'!G37="Yes",'03_Logistics_Cost'!I22,0)</f>
        <v/>
      </c>
      <c r="I70" s="12">
        <f>IFERROR(H70/B74,0)</f>
        <v/>
      </c>
    </row>
    <row r="71" ht="22" customHeight="1">
      <c r="A71" s="4" t="inlineStr">
        <is>
          <t>Payability</t>
        </is>
      </c>
      <c r="B71" s="9">
        <f>'01_Input_Assumptions'!M20</f>
        <v/>
      </c>
      <c r="C71" s="9">
        <f>'01_Input_Assumptions'!U20</f>
        <v/>
      </c>
      <c r="D71" s="4" t="inlineStr">
        <is>
          <t>%</t>
        </is>
      </c>
      <c r="F71" s="4" t="inlineStr">
        <is>
          <t>TC/RC Adjustment</t>
        </is>
      </c>
      <c r="G71" s="12">
        <f>'03_Logistics_Cost'!K22*B68</f>
        <v/>
      </c>
      <c r="H71" s="12">
        <f>G71*B74</f>
        <v/>
      </c>
      <c r="I71" s="12">
        <f>IFERROR(H71/B74,0)</f>
        <v/>
      </c>
    </row>
    <row r="72" ht="22" customHeight="1">
      <c r="A72" s="4" t="inlineStr">
        <is>
          <t>Treatment Charge</t>
        </is>
      </c>
      <c r="B72" s="6">
        <f>'01_Input_Assumptions'!N20</f>
        <v/>
      </c>
      <c r="C72" s="6">
        <f>'01_Input_Assumptions'!V20</f>
        <v/>
      </c>
      <c r="D72" s="4" t="inlineStr">
        <is>
          <t>USD/RMB per DMT</t>
        </is>
      </c>
      <c r="F72" s="4" t="inlineStr">
        <is>
          <t>Contingency</t>
        </is>
      </c>
      <c r="G72" s="12">
        <f>IF('03_Logistics_Cost'!B22="FOB",0,(G68+G69+G70+G71)*'03_Logistics_Cost'!J22)</f>
        <v/>
      </c>
      <c r="H72" s="12">
        <f>IF('03_Logistics_Cost'!B22="FOB",0,(H68+H69+H70+H71)*'03_Logistics_Cost'!J22)</f>
        <v/>
      </c>
      <c r="I72" s="12">
        <f>IFERROR(H72/B74,0)</f>
        <v/>
      </c>
    </row>
    <row r="73" ht="22" customHeight="1">
      <c r="A73" s="4" t="inlineStr">
        <is>
          <t>Penalty</t>
        </is>
      </c>
      <c r="B73" s="6">
        <f>'01_Input_Assumptions'!L28</f>
        <v/>
      </c>
      <c r="C73" s="6">
        <f>'01_Input_Assumptions'!L28*B74</f>
        <v/>
      </c>
      <c r="D73" s="4" t="inlineStr">
        <is>
          <t>USD/RMB per DMT</t>
        </is>
      </c>
      <c r="F73" s="4" t="inlineStr">
        <is>
          <t>Total Cost</t>
        </is>
      </c>
      <c r="G73" s="12">
        <f>SUM(G68:G72)</f>
        <v/>
      </c>
      <c r="H73" s="12">
        <f>SUM(H68:H72)</f>
        <v/>
      </c>
      <c r="I73" s="12">
        <f>IFERROR(H73/B74,0)</f>
        <v/>
      </c>
    </row>
    <row r="74" ht="22" customHeight="1">
      <c r="A74" s="4" t="inlineStr">
        <is>
          <t>FX</t>
        </is>
      </c>
      <c r="B74" s="6">
        <f>'01_Input_Assumptions'!B6</f>
        <v/>
      </c>
      <c r="C74" s="6">
        <f>'01_Input_Assumptions'!B6</f>
        <v/>
      </c>
      <c r="D74" s="4" t="inlineStr">
        <is>
          <t>RMB/USD</t>
        </is>
      </c>
      <c r="F74" s="4" t="inlineStr">
        <is>
          <t>Net Margin</t>
        </is>
      </c>
      <c r="G74" s="12">
        <f>G66+G67-G73</f>
        <v/>
      </c>
      <c r="H74" s="12">
        <f>H66+H67-H73</f>
        <v/>
      </c>
      <c r="I74" s="12">
        <f>IFERROR(H74/B74,0)</f>
        <v/>
      </c>
    </row>
    <row r="75" ht="22" customHeight="1">
      <c r="A75" s="4" t="inlineStr">
        <is>
          <t>EXW Purchase Price</t>
        </is>
      </c>
      <c r="B75" s="6">
        <f>'01_Input_Assumptions'!F20</f>
        <v/>
      </c>
      <c r="C75" s="6">
        <f>'01_Input_Assumptions'!F20</f>
        <v/>
      </c>
      <c r="D75" s="4" t="inlineStr">
        <is>
          <t>USD</t>
        </is>
      </c>
      <c r="F75" s="4" t="inlineStr">
        <is>
          <t>Margin / DMT</t>
        </is>
      </c>
      <c r="G75" s="12">
        <f>IFERROR(G74/B68,0)</f>
        <v/>
      </c>
      <c r="H75" s="12">
        <f>IFERROR(H74/C68,0)</f>
        <v/>
      </c>
      <c r="I75" s="12">
        <f>IFERROR(I74/B68,0)</f>
        <v/>
      </c>
    </row>
    <row r="76" ht="22" customHeight="1">
      <c r="A76" s="4" t="inlineStr">
        <is>
          <t>Equivalent FOB Price</t>
        </is>
      </c>
      <c r="B76" s="7">
        <f>(B75+(B66*'03_Logistics_Cost'!C22+B66*'03_Logistics_Cost'!D22+B68*'03_Logistics_Cost'!E22+'03_Logistics_Cost'!F22)/B68)*(1+'03_Logistics_Cost'!H22)</f>
        <v/>
      </c>
      <c r="C76" s="7">
        <f>(G75+(G66*'03_Logistics_Cost'!C22*B74+G66*'03_Logistics_Cost'!D22*B74+G68*'03_Logistics_Cost'!E22*B74+'03_Logistics_Cost'!F22*B74)/G68)*(1+'03_Logistics_Cost'!H22)</f>
        <v/>
      </c>
      <c r="D76" s="4" t="inlineStr">
        <is>
          <t>USD</t>
        </is>
      </c>
      <c r="F76" s="4" t="inlineStr">
        <is>
          <t>Gross Margin %</t>
        </is>
      </c>
      <c r="G76" s="13">
        <f>IFERROR(G74/(G66+G67),0)</f>
        <v/>
      </c>
      <c r="H76" s="13">
        <f>IFERROR(H74/(H66+H67),0)</f>
        <v/>
      </c>
      <c r="I76" s="13">
        <f>IFERROR(I74/(I66+I67),0)</f>
        <v/>
      </c>
    </row>
    <row r="77" ht="22" customHeight="1">
      <c r="A77" s="4" t="inlineStr">
        <is>
          <t>Actual FOB Offer</t>
        </is>
      </c>
      <c r="B77" s="6">
        <f>'01_Input_Assumptions'!AA20</f>
        <v/>
      </c>
      <c r="C77" s="6">
        <f>'01_Input_Assumptions'!AA20</f>
        <v/>
      </c>
      <c r="D77" s="4" t="inlineStr">
        <is>
          <t>USD</t>
        </is>
      </c>
      <c r="F77" s="4" t="inlineStr">
        <is>
          <t>Recommended Market</t>
        </is>
      </c>
      <c r="G77" s="11">
        <f>IF(MAX(G75,I75)=0,"Check Inputs",IF(G75&gt;I75,"International","Domestic"))</f>
        <v/>
      </c>
      <c r="H77" s="11" t="inlineStr"/>
      <c r="I77" s="11" t="inlineStr"/>
    </row>
    <row r="78" ht="22" customHeight="1">
      <c r="A78" s="4" t="inlineStr">
        <is>
          <t>Purchase Basis</t>
        </is>
      </c>
      <c r="B78" s="6">
        <f>'01_Input_Assumptions'!G20&amp;" / "&amp;'01_Input_Assumptions'!B20</f>
        <v/>
      </c>
      <c r="C78" s="6">
        <f>'01_Input_Assumptions'!G20&amp;" / "&amp;'01_Input_Assumptions'!B20</f>
        <v/>
      </c>
      <c r="D78" s="4" t="inlineStr">
        <is>
          <t>-</t>
        </is>
      </c>
    </row>
  </sheetData>
  <mergeCells count="18">
    <mergeCell ref="A5:D5"/>
    <mergeCell ref="A23:D23"/>
    <mergeCell ref="A2:I2"/>
    <mergeCell ref="A61:D61"/>
    <mergeCell ref="A4:D4"/>
    <mergeCell ref="F4:I4"/>
    <mergeCell ref="F43:I43"/>
    <mergeCell ref="F61:I61"/>
    <mergeCell ref="A62:D62"/>
    <mergeCell ref="A1:I1"/>
    <mergeCell ref="F24:I24"/>
    <mergeCell ref="F62:I62"/>
    <mergeCell ref="A43:D43"/>
    <mergeCell ref="A24:D24"/>
    <mergeCell ref="F5:I5"/>
    <mergeCell ref="F23:I23"/>
    <mergeCell ref="A42:D42"/>
    <mergeCell ref="F42:I4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3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42" customWidth="1" min="12" max="12"/>
  </cols>
  <sheetData>
    <row r="1" ht="22" customHeight="1">
      <c r="A1" s="1" t="inlineStr">
        <is>
          <t>06 Output Quote</t>
        </is>
      </c>
    </row>
    <row r="2" ht="22" customHeight="1">
      <c r="A2" s="2" t="inlineStr">
        <is>
          <t>Deal summary, downstream quote template, and price sensitivity</t>
        </is>
      </c>
    </row>
    <row r="3" ht="22" customHeight="1"/>
    <row r="4" ht="22" customHeight="1">
      <c r="A4" s="5" t="inlineStr">
        <is>
          <t>A. Deal Summary</t>
        </is>
      </c>
    </row>
    <row r="5" ht="22" customHeight="1">
      <c r="A5" s="3" t="inlineStr">
        <is>
          <t>Commodity</t>
        </is>
      </c>
      <c r="B5" s="3" t="inlineStr">
        <is>
          <t>Grade</t>
        </is>
      </c>
      <c r="C5" s="3" t="inlineStr">
        <is>
          <t>WMT</t>
        </is>
      </c>
      <c r="D5" s="3" t="inlineStr">
        <is>
          <t>DMT</t>
        </is>
      </c>
      <c r="E5" s="3" t="inlineStr">
        <is>
          <t>Intl Revenue/DMT</t>
        </is>
      </c>
      <c r="F5" s="3" t="inlineStr">
        <is>
          <t>Domestic Revenue/DMT USD</t>
        </is>
      </c>
      <c r="G5" s="3" t="inlineStr">
        <is>
          <t>Intl Margin/DMT</t>
        </is>
      </c>
      <c r="H5" s="3" t="inlineStr">
        <is>
          <t>Domestic Margin/DMT USD</t>
        </is>
      </c>
      <c r="I5" s="3" t="inlineStr">
        <is>
          <t>Recommended Market</t>
        </is>
      </c>
      <c r="J5" s="3" t="inlineStr">
        <is>
          <t>Total Intl Margin</t>
        </is>
      </c>
      <c r="K5" s="3" t="inlineStr">
        <is>
          <t>Total Domestic Margin USD</t>
        </is>
      </c>
      <c r="L5" s="3" t="inlineStr">
        <is>
          <t>Core Risk</t>
        </is>
      </c>
    </row>
    <row r="6" ht="22" customHeight="1">
      <c r="A6" s="4" t="inlineStr">
        <is>
          <t>Sb</t>
        </is>
      </c>
      <c r="B6" s="13">
        <f>'05_Commodity_Models'!B12</f>
        <v/>
      </c>
      <c r="C6" s="12">
        <f>'05_Commodity_Models'!B9</f>
        <v/>
      </c>
      <c r="D6" s="12">
        <f>'05_Commodity_Models'!B11</f>
        <v/>
      </c>
      <c r="E6" s="12">
        <f>'05_Commodity_Models'!G8</f>
        <v/>
      </c>
      <c r="F6" s="12">
        <f>'05_Commodity_Models'!I8</f>
        <v/>
      </c>
      <c r="G6" s="12">
        <f>'05_Commodity_Models'!G18</f>
        <v/>
      </c>
      <c r="H6" s="12">
        <f>'05_Commodity_Models'!I18</f>
        <v/>
      </c>
      <c r="I6" s="11">
        <f>'05_Commodity_Models'!G20</f>
        <v/>
      </c>
      <c r="J6" s="12">
        <f>'05_Commodity_Models'!G17</f>
        <v/>
      </c>
      <c r="K6" s="12">
        <f>'05_Commodity_Models'!I17</f>
        <v/>
      </c>
      <c r="L6" s="4" t="inlineStr">
        <is>
          <t>样品代表性、As/Hg/Pb/Cd、合法出口</t>
        </is>
      </c>
    </row>
    <row r="7" ht="22" customHeight="1">
      <c r="A7" s="4" t="inlineStr">
        <is>
          <t>WO3</t>
        </is>
      </c>
      <c r="B7" s="13">
        <f>'05_Commodity_Models'!B31</f>
        <v/>
      </c>
      <c r="C7" s="12">
        <f>'05_Commodity_Models'!B28</f>
        <v/>
      </c>
      <c r="D7" s="12">
        <f>'05_Commodity_Models'!B30</f>
        <v/>
      </c>
      <c r="E7" s="12">
        <f>'05_Commodity_Models'!G27</f>
        <v/>
      </c>
      <c r="F7" s="12">
        <f>'05_Commodity_Models'!I27</f>
        <v/>
      </c>
      <c r="G7" s="12">
        <f>'05_Commodity_Models'!G37</f>
        <v/>
      </c>
      <c r="H7" s="12">
        <f>'05_Commodity_Models'!I37</f>
        <v/>
      </c>
      <c r="I7" s="11">
        <f>'05_Commodity_Models'!G39</f>
        <v/>
      </c>
      <c r="J7" s="12">
        <f>'05_Commodity_Models'!G36</f>
        <v/>
      </c>
      <c r="K7" s="12">
        <f>'05_Commodity_Models'!I36</f>
        <v/>
      </c>
      <c r="L7" s="4" t="inlineStr">
        <is>
          <t>3TG/OECD/RMI追溯、Sn/Mo/U/Th</t>
        </is>
      </c>
    </row>
    <row r="8" ht="22" customHeight="1">
      <c r="A8" s="4" t="inlineStr">
        <is>
          <t>Li2O</t>
        </is>
      </c>
      <c r="B8" s="13">
        <f>'05_Commodity_Models'!B50</f>
        <v/>
      </c>
      <c r="C8" s="12">
        <f>'05_Commodity_Models'!B47</f>
        <v/>
      </c>
      <c r="D8" s="12">
        <f>'05_Commodity_Models'!B49</f>
        <v/>
      </c>
      <c r="E8" s="12">
        <f>'05_Commodity_Models'!G46</f>
        <v/>
      </c>
      <c r="F8" s="12">
        <f>'05_Commodity_Models'!I46</f>
        <v/>
      </c>
      <c r="G8" s="12">
        <f>'05_Commodity_Models'!G56</f>
        <v/>
      </c>
      <c r="H8" s="12">
        <f>'05_Commodity_Models'!I56</f>
        <v/>
      </c>
      <c r="I8" s="11">
        <f>'05_Commodity_Models'!G58</f>
        <v/>
      </c>
      <c r="J8" s="12">
        <f>'05_Commodity_Models'!G55</f>
        <v/>
      </c>
      <c r="K8" s="12">
        <f>'05_Commodity_Models'!I55</f>
        <v/>
      </c>
      <c r="L8" s="4" t="inlineStr">
        <is>
          <t>6%基准适用性、云母/辉石差异、杂质</t>
        </is>
      </c>
    </row>
    <row r="9" ht="22" customHeight="1">
      <c r="A9" s="4" t="inlineStr">
        <is>
          <t>Cu</t>
        </is>
      </c>
      <c r="B9" s="13">
        <f>'05_Commodity_Models'!B69</f>
        <v/>
      </c>
      <c r="C9" s="12">
        <f>'05_Commodity_Models'!B66</f>
        <v/>
      </c>
      <c r="D9" s="12">
        <f>'05_Commodity_Models'!B68</f>
        <v/>
      </c>
      <c r="E9" s="12">
        <f>'05_Commodity_Models'!G65</f>
        <v/>
      </c>
      <c r="F9" s="12">
        <f>'05_Commodity_Models'!I65</f>
        <v/>
      </c>
      <c r="G9" s="12">
        <f>'05_Commodity_Models'!G75</f>
        <v/>
      </c>
      <c r="H9" s="12">
        <f>'05_Commodity_Models'!I75</f>
        <v/>
      </c>
      <c r="I9" s="11">
        <f>'05_Commodity_Models'!G77</f>
        <v/>
      </c>
      <c r="J9" s="12">
        <f>'05_Commodity_Models'!G74</f>
        <v/>
      </c>
      <c r="K9" s="12">
        <f>'05_Commodity_Models'!I74</f>
        <v/>
      </c>
      <c r="L9" s="4" t="inlineStr">
        <is>
          <t>TC/RC、含金银副产品、砷/氟/汞</t>
        </is>
      </c>
    </row>
    <row r="10" ht="22" customHeight="1"/>
    <row r="11" ht="22" customHeight="1"/>
    <row r="12" ht="22" customHeight="1"/>
    <row r="13" ht="22" customHeight="1"/>
    <row r="14" ht="22" customHeight="1">
      <c r="A14" s="5" t="inlineStr">
        <is>
          <t>B. Downstream Quote</t>
        </is>
      </c>
    </row>
    <row r="15" ht="22" customHeight="1">
      <c r="A15" s="3" t="inlineStr">
        <is>
          <t>Field</t>
        </is>
      </c>
      <c r="B15" s="3" t="inlineStr">
        <is>
          <t>Sb Offer</t>
        </is>
      </c>
      <c r="C15" s="3" t="inlineStr">
        <is>
          <t>WO3 Offer</t>
        </is>
      </c>
      <c r="D15" s="3" t="inlineStr">
        <is>
          <t>Li2O Offer</t>
        </is>
      </c>
      <c r="E15" s="3" t="inlineStr">
        <is>
          <t>Cu Offer</t>
        </is>
      </c>
      <c r="F15" s="3" t="inlineStr">
        <is>
          <t>Remarks</t>
        </is>
      </c>
    </row>
    <row r="16" ht="22" customHeight="1">
      <c r="A16" s="4" t="inlineStr">
        <is>
          <t>Seller</t>
        </is>
      </c>
      <c r="B16" s="11">
        <f>'01_Input_Assumptions'!B10</f>
        <v/>
      </c>
      <c r="C16" s="11">
        <f>'01_Input_Assumptions'!B10</f>
        <v/>
      </c>
      <c r="D16" s="11">
        <f>'01_Input_Assumptions'!B10</f>
        <v/>
      </c>
      <c r="E16" s="11">
        <f>'01_Input_Assumptions'!B10</f>
        <v/>
      </c>
      <c r="F16" s="4" t="inlineStr">
        <is>
          <t>Trading entity</t>
        </is>
      </c>
    </row>
    <row r="17" ht="22" customHeight="1">
      <c r="A17" s="4" t="inlineStr">
        <is>
          <t>Origin</t>
        </is>
      </c>
      <c r="B17" s="11">
        <f>'01_Input_Assumptions'!B9</f>
        <v/>
      </c>
      <c r="C17" s="11">
        <f>'01_Input_Assumptions'!B9</f>
        <v/>
      </c>
      <c r="D17" s="11">
        <f>'01_Input_Assumptions'!B9</f>
        <v/>
      </c>
      <c r="E17" s="11">
        <f>'01_Input_Assumptions'!B9</f>
        <v/>
      </c>
      <c r="F17" s="4" t="inlineStr">
        <is>
          <t>Origin country</t>
        </is>
      </c>
    </row>
    <row r="18" ht="22" customHeight="1">
      <c r="A18" s="4" t="inlineStr">
        <is>
          <t>Delivery Port</t>
        </is>
      </c>
      <c r="B18" s="11">
        <f>'01_Input_Assumptions'!B8</f>
        <v/>
      </c>
      <c r="C18" s="11">
        <f>'01_Input_Assumptions'!B8</f>
        <v/>
      </c>
      <c r="D18" s="11">
        <f>'01_Input_Assumptions'!B8</f>
        <v/>
      </c>
      <c r="E18" s="11">
        <f>'01_Input_Assumptions'!B8</f>
        <v/>
      </c>
      <c r="F18" s="4" t="inlineStr">
        <is>
          <t>FOB/CIF adjustable</t>
        </is>
      </c>
    </row>
    <row r="19" ht="22" customHeight="1">
      <c r="A19" s="4" t="inlineStr">
        <is>
          <t>Product</t>
        </is>
      </c>
      <c r="B19" s="11" t="inlineStr">
        <is>
          <t>Antimony Concentrate</t>
        </is>
      </c>
      <c r="C19" s="11" t="inlineStr">
        <is>
          <t>Tungsten Concentrate</t>
        </is>
      </c>
      <c r="D19" s="11" t="inlineStr">
        <is>
          <t>Lithium Concentrate</t>
        </is>
      </c>
      <c r="E19" s="11" t="inlineStr">
        <is>
          <t>Copper Concentrate</t>
        </is>
      </c>
      <c r="F19" s="4" t="inlineStr"/>
    </row>
    <row r="20" ht="22" customHeight="1">
      <c r="A20" s="4" t="inlineStr">
        <is>
          <t>Grade</t>
        </is>
      </c>
      <c r="B20" s="13">
        <f>'05_Commodity_Models'!B12</f>
        <v/>
      </c>
      <c r="C20" s="13">
        <f>'05_Commodity_Models'!B31</f>
        <v/>
      </c>
      <c r="D20" s="13">
        <f>'05_Commodity_Models'!B50</f>
        <v/>
      </c>
      <c r="E20" s="13">
        <f>'05_Commodity_Models'!B69</f>
        <v/>
      </c>
      <c r="F20" s="4" t="inlineStr">
        <is>
          <t>Dry basis</t>
        </is>
      </c>
    </row>
    <row r="21" ht="22" customHeight="1">
      <c r="A21" s="4" t="inlineStr">
        <is>
          <t>Quantity WMT</t>
        </is>
      </c>
      <c r="B21" s="12">
        <f>'05_Commodity_Models'!B9</f>
        <v/>
      </c>
      <c r="C21" s="12">
        <f>'05_Commodity_Models'!B28</f>
        <v/>
      </c>
      <c r="D21" s="12">
        <f>'05_Commodity_Models'!B47</f>
        <v/>
      </c>
      <c r="E21" s="12">
        <f>'05_Commodity_Models'!B66</f>
        <v/>
      </c>
      <c r="F21" s="4" t="inlineStr">
        <is>
          <t>Wet metric ton</t>
        </is>
      </c>
    </row>
    <row r="22" ht="22" customHeight="1">
      <c r="A22" s="4" t="inlineStr">
        <is>
          <t>Recommended Market</t>
        </is>
      </c>
      <c r="B22" s="11">
        <f>'05_Commodity_Models'!G20</f>
        <v/>
      </c>
      <c r="C22" s="11">
        <f>'05_Commodity_Models'!G39</f>
        <v/>
      </c>
      <c r="D22" s="11">
        <f>'05_Commodity_Models'!G58</f>
        <v/>
      </c>
      <c r="E22" s="11">
        <f>'05_Commodity_Models'!G77</f>
        <v/>
      </c>
      <c r="F22" s="4" t="inlineStr">
        <is>
          <t>Auto recommendation</t>
        </is>
      </c>
    </row>
    <row r="23" ht="22" customHeight="1"/>
    <row r="24" ht="22" customHeight="1"/>
    <row r="25" ht="22" customHeight="1"/>
    <row r="26" ht="22" customHeight="1"/>
    <row r="27" ht="22" customHeight="1">
      <c r="A27" s="5" t="inlineStr">
        <is>
          <t>C. Scenario Analysis</t>
        </is>
      </c>
    </row>
    <row r="28" ht="22" customHeight="1">
      <c r="A28" s="3" t="inlineStr">
        <is>
          <t>Commodity</t>
        </is>
      </c>
      <c r="B28" s="3" t="inlineStr">
        <is>
          <t>Base Price</t>
        </is>
      </c>
      <c r="C28" s="3" t="inlineStr">
        <is>
          <t>Downside Price</t>
        </is>
      </c>
      <c r="D28" s="3" t="inlineStr">
        <is>
          <t>Upside Price</t>
        </is>
      </c>
      <c r="E28" s="3" t="inlineStr">
        <is>
          <t>Base Intl Margin/DMT</t>
        </is>
      </c>
      <c r="F28" s="3" t="inlineStr">
        <is>
          <t>Downside Revenue/DMT</t>
        </is>
      </c>
      <c r="G28" s="3" t="inlineStr">
        <is>
          <t>Upside Revenue/DMT</t>
        </is>
      </c>
      <c r="H28" s="3" t="inlineStr">
        <is>
          <t>Downside Margin/DMT</t>
        </is>
      </c>
      <c r="I28" s="3" t="inlineStr">
        <is>
          <t>Upside Margin/DMT</t>
        </is>
      </c>
      <c r="J28" s="3" t="inlineStr">
        <is>
          <t>Recommended</t>
        </is>
      </c>
      <c r="K28" s="3" t="inlineStr">
        <is>
          <t>Note</t>
        </is>
      </c>
    </row>
    <row r="29" ht="22" customHeight="1">
      <c r="A29" s="4" t="inlineStr">
        <is>
          <t>Sb</t>
        </is>
      </c>
      <c r="B29" s="12">
        <f>'01_Input_Assumptions'!L17</f>
        <v/>
      </c>
      <c r="C29" s="12">
        <f>B29*0.9</f>
        <v/>
      </c>
      <c r="D29" s="12">
        <f>B29*1.1</f>
        <v/>
      </c>
      <c r="E29" s="12">
        <f>'05_Commodity_Models'!G18</f>
        <v/>
      </c>
      <c r="F29" s="12">
        <f>'05_Commodity_Models'!G8*0.9</f>
        <v/>
      </c>
      <c r="G29" s="12">
        <f>'05_Commodity_Models'!G8*1.1</f>
        <v/>
      </c>
      <c r="H29" s="12">
        <f>E29-('05_Commodity_Models'!G8-F29)</f>
        <v/>
      </c>
      <c r="I29" s="12">
        <f>E29+(G29-'05_Commodity_Models'!G8)</f>
        <v/>
      </c>
      <c r="J29" s="11">
        <f>'05_Commodity_Models'!G20</f>
        <v/>
      </c>
      <c r="K29" s="4" t="inlineStr">
        <is>
          <t>Simple price sensitivity</t>
        </is>
      </c>
    </row>
    <row r="30" ht="22" customHeight="1">
      <c r="A30" s="4" t="inlineStr">
        <is>
          <t>WO3</t>
        </is>
      </c>
      <c r="B30" s="12">
        <f>'01_Input_Assumptions'!L18</f>
        <v/>
      </c>
      <c r="C30" s="12">
        <f>B30*0.9</f>
        <v/>
      </c>
      <c r="D30" s="12">
        <f>B30*1.1</f>
        <v/>
      </c>
      <c r="E30" s="12">
        <f>'05_Commodity_Models'!G37</f>
        <v/>
      </c>
      <c r="F30" s="12">
        <f>'05_Commodity_Models'!G27*0.9</f>
        <v/>
      </c>
      <c r="G30" s="12">
        <f>'05_Commodity_Models'!G27*1.1</f>
        <v/>
      </c>
      <c r="H30" s="12">
        <f>E30-('05_Commodity_Models'!G27-F30)</f>
        <v/>
      </c>
      <c r="I30" s="12">
        <f>E30+(G30-'05_Commodity_Models'!G27)</f>
        <v/>
      </c>
      <c r="J30" s="11">
        <f>'05_Commodity_Models'!G39</f>
        <v/>
      </c>
      <c r="K30" s="4" t="inlineStr">
        <is>
          <t>Simple price sensitivity</t>
        </is>
      </c>
    </row>
    <row r="31" ht="22" customHeight="1">
      <c r="A31" s="4" t="inlineStr">
        <is>
          <t>Li2O</t>
        </is>
      </c>
      <c r="B31" s="12">
        <f>'01_Input_Assumptions'!L19</f>
        <v/>
      </c>
      <c r="C31" s="12">
        <f>B31*0.9</f>
        <v/>
      </c>
      <c r="D31" s="12">
        <f>B31*1.1</f>
        <v/>
      </c>
      <c r="E31" s="12">
        <f>'05_Commodity_Models'!G56</f>
        <v/>
      </c>
      <c r="F31" s="12">
        <f>'05_Commodity_Models'!G46*0.9</f>
        <v/>
      </c>
      <c r="G31" s="12">
        <f>'05_Commodity_Models'!G46*1.1</f>
        <v/>
      </c>
      <c r="H31" s="12">
        <f>E31-('05_Commodity_Models'!G46-F31)</f>
        <v/>
      </c>
      <c r="I31" s="12">
        <f>E31+(G31-'05_Commodity_Models'!G46)</f>
        <v/>
      </c>
      <c r="J31" s="11">
        <f>'05_Commodity_Models'!G58</f>
        <v/>
      </c>
      <c r="K31" s="4" t="inlineStr">
        <is>
          <t>Simple price sensitivity</t>
        </is>
      </c>
    </row>
    <row r="32" ht="22" customHeight="1">
      <c r="A32" s="4" t="inlineStr">
        <is>
          <t>Cu</t>
        </is>
      </c>
      <c r="B32" s="12">
        <f>'01_Input_Assumptions'!L20</f>
        <v/>
      </c>
      <c r="C32" s="12">
        <f>B32*0.9</f>
        <v/>
      </c>
      <c r="D32" s="12">
        <f>B32*1.1</f>
        <v/>
      </c>
      <c r="E32" s="12">
        <f>'05_Commodity_Models'!G75</f>
        <v/>
      </c>
      <c r="F32" s="12">
        <f>'05_Commodity_Models'!G65*0.9</f>
        <v/>
      </c>
      <c r="G32" s="12">
        <f>'05_Commodity_Models'!G65*1.1</f>
        <v/>
      </c>
      <c r="H32" s="12">
        <f>E32-('05_Commodity_Models'!G65-F32)</f>
        <v/>
      </c>
      <c r="I32" s="12">
        <f>E32+(G32-'05_Commodity_Models'!G65)</f>
        <v/>
      </c>
      <c r="J32" s="11">
        <f>'05_Commodity_Models'!G77</f>
        <v/>
      </c>
      <c r="K32" s="4" t="inlineStr">
        <is>
          <t>Simple price sensitivity</t>
        </is>
      </c>
    </row>
  </sheetData>
  <mergeCells count="5">
    <mergeCell ref="A2:L2"/>
    <mergeCell ref="A14:F14"/>
    <mergeCell ref="A1:L1"/>
    <mergeCell ref="A4:L4"/>
    <mergeCell ref="A27:K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2026-07-07T10:30:48Z</dcterms:created>
  <dcterms:modified xmlns:dcterms="http://purl.org/dc/terms/" xmlns:xsi="http://www.w3.org/2001/XMLSchema-instance" xsi:type="dcterms:W3CDTF">2026-07-07T10:30:49Z</dcterms:modified>
</cp:coreProperties>
</file>