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F:\Documents\GitHub\Critical-Minerals-Trading-OS\"/>
    </mc:Choice>
  </mc:AlternateContent>
  <xr:revisionPtr revIDLastSave="0" documentId="11_EAC900FA616DC6A2B06A9F7F989EE9AD9F0417CA" xr6:coauthVersionLast="47" xr6:coauthVersionMax="47" xr10:uidLastSave="{00000000-0000-0000-0000-000000000000}"/>
  <bookViews>
    <workbookView xWindow="2562" yWindow="2562" windowWidth="17280" windowHeight="8904" xr2:uid="{00000000-000D-0000-FFFF-FFFF00000000}"/>
  </bookViews>
  <sheets>
    <sheet name="Sb (锑原矿-精矿)" sheetId="1" r:id="rId1"/>
    <sheet name="WO3 (钨原矿-精矿)" sheetId="2" r:id="rId2"/>
    <sheet name="Li2O (锂辉石-锂云母)" sheetId="3" r:id="rId3"/>
    <sheet name="Cu (铜精矿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D30" i="4" s="1"/>
  <c r="C27" i="4"/>
  <c r="D27" i="4" s="1"/>
  <c r="C26" i="4"/>
  <c r="D26" i="4" s="1"/>
  <c r="C20" i="4"/>
  <c r="C19" i="4"/>
  <c r="C30" i="3"/>
  <c r="D30" i="3" s="1"/>
  <c r="C27" i="3"/>
  <c r="D27" i="3" s="1"/>
  <c r="C26" i="3"/>
  <c r="D26" i="3" s="1"/>
  <c r="C20" i="3"/>
  <c r="C19" i="3"/>
  <c r="C30" i="2"/>
  <c r="D30" i="2" s="1"/>
  <c r="C27" i="2"/>
  <c r="D27" i="2" s="1"/>
  <c r="C26" i="2"/>
  <c r="D26" i="2" s="1"/>
  <c r="C20" i="2"/>
  <c r="C19" i="2"/>
  <c r="C30" i="1"/>
  <c r="D30" i="1" s="1"/>
  <c r="C27" i="1"/>
  <c r="D27" i="1" s="1"/>
  <c r="C26" i="1"/>
  <c r="D26" i="1" s="1"/>
  <c r="C20" i="1"/>
  <c r="C19" i="1"/>
  <c r="C32" i="4" l="1"/>
  <c r="D32" i="4" s="1"/>
  <c r="C28" i="4"/>
  <c r="D28" i="4" s="1"/>
  <c r="C25" i="4"/>
  <c r="C24" i="4"/>
  <c r="C32" i="3"/>
  <c r="D32" i="3" s="1"/>
  <c r="C28" i="3"/>
  <c r="D28" i="3" s="1"/>
  <c r="C25" i="3"/>
  <c r="C24" i="3"/>
  <c r="C32" i="2"/>
  <c r="D32" i="2" s="1"/>
  <c r="C25" i="2"/>
  <c r="C28" i="2"/>
  <c r="D28" i="2" s="1"/>
  <c r="C24" i="2"/>
  <c r="C25" i="1"/>
  <c r="C24" i="1"/>
  <c r="C32" i="1"/>
  <c r="D32" i="1" s="1"/>
  <c r="C28" i="1"/>
  <c r="D28" i="1" s="1"/>
  <c r="D25" i="4" l="1"/>
  <c r="C29" i="4"/>
  <c r="D24" i="4"/>
  <c r="C31" i="4"/>
  <c r="D25" i="3"/>
  <c r="D24" i="3"/>
  <c r="C29" i="3"/>
  <c r="D29" i="3" s="1"/>
  <c r="C31" i="3"/>
  <c r="C33" i="2"/>
  <c r="D33" i="2" s="1"/>
  <c r="C34" i="2"/>
  <c r="D25" i="2"/>
  <c r="D24" i="2"/>
  <c r="C29" i="2"/>
  <c r="D29" i="2" s="1"/>
  <c r="C31" i="2"/>
  <c r="D31" i="2" s="1"/>
  <c r="D25" i="1"/>
  <c r="D24" i="1"/>
  <c r="C29" i="1"/>
  <c r="C31" i="1"/>
  <c r="D29" i="4" l="1"/>
  <c r="D31" i="4"/>
  <c r="C33" i="4"/>
  <c r="D31" i="3"/>
  <c r="C33" i="3"/>
  <c r="D34" i="2"/>
  <c r="C35" i="2"/>
  <c r="D29" i="1"/>
  <c r="D31" i="1"/>
  <c r="C33" i="1"/>
  <c r="C34" i="3" l="1"/>
  <c r="D33" i="3"/>
  <c r="C36" i="2"/>
  <c r="D35" i="2"/>
  <c r="D33" i="4"/>
  <c r="C34" i="4"/>
  <c r="D33" i="1"/>
  <c r="C34" i="1"/>
  <c r="C35" i="3" l="1"/>
  <c r="D34" i="3"/>
  <c r="D34" i="4"/>
  <c r="C35" i="4"/>
  <c r="D34" i="1"/>
  <c r="C35" i="1"/>
  <c r="C36" i="3" l="1"/>
  <c r="D35" i="3"/>
  <c r="C36" i="4"/>
  <c r="D35" i="4"/>
  <c r="C36" i="1"/>
  <c r="D35" i="1"/>
</calcChain>
</file>

<file path=xl/sharedStrings.xml><?xml version="1.0" encoding="utf-8"?>
<sst xmlns="http://schemas.openxmlformats.org/spreadsheetml/2006/main" count="424" uniqueCount="130">
  <si>
    <t>GCTS L6 锑矿石/精矿计价模型 (Sb Pricing Model)</t>
  </si>
  <si>
    <t>一、报价算费核心输入要素 (Pricing Input Factors)</t>
  </si>
  <si>
    <t>代码 (ID)</t>
  </si>
  <si>
    <t>核心测算参数</t>
  </si>
  <si>
    <t>输入值 (Value)</t>
  </si>
  <si>
    <t>单位 (Unit)</t>
  </si>
  <si>
    <t>说明/口径 (Notes)</t>
  </si>
  <si>
    <t>WMT_Qty</t>
  </si>
  <si>
    <t>湿吨合同总量 (WMT)</t>
  </si>
  <si>
    <t>吨 (WMT)</t>
  </si>
  <si>
    <t>WMT Quantity</t>
  </si>
  <si>
    <t>Moisture</t>
  </si>
  <si>
    <t>水分含量 (Moisture)</t>
  </si>
  <si>
    <t>百分比 (%)</t>
  </si>
  <si>
    <t>天然水分比重</t>
  </si>
  <si>
    <t>Grade</t>
  </si>
  <si>
    <t>原矿干基品位 Sb (%)</t>
  </si>
  <si>
    <t>交易计价主元素品位</t>
  </si>
  <si>
    <t>Base_Price</t>
  </si>
  <si>
    <t>国际基准价 (Sb锭 LME/Fastmarkets)</t>
  </si>
  <si>
    <t>美元/吨 (USD/t)</t>
  </si>
  <si>
    <t>100%金属价格基准</t>
  </si>
  <si>
    <t>Payability</t>
  </si>
  <si>
    <t>计价系数 (Payability)</t>
  </si>
  <si>
    <t>阶梯式折扣系数</t>
  </si>
  <si>
    <t>Purchase_Cost</t>
  </si>
  <si>
    <t>乍得矿区采购单价</t>
  </si>
  <si>
    <t>美元/干吨 (USD/DMT)</t>
  </si>
  <si>
    <t>离岸本地拿货价</t>
  </si>
  <si>
    <t>Trucking</t>
  </si>
  <si>
    <t>公路汽运费 (Mongo-Ngaoundere)</t>
  </si>
  <si>
    <t>美元/湿吨 (USD/t)</t>
  </si>
  <si>
    <t>湿吨实物卡车运费</t>
  </si>
  <si>
    <t>Rail</t>
  </si>
  <si>
    <t>喀麦隆铁路及转运费 (Ngaoundere-Douala)</t>
  </si>
  <si>
    <t>湿吨铁路与过境安全费</t>
  </si>
  <si>
    <t>Customs</t>
  </si>
  <si>
    <t>通关港口变动费 (Douala THC/CFS)</t>
  </si>
  <si>
    <t>按结算干吨计</t>
  </si>
  <si>
    <t>Export_Duty_Rate</t>
  </si>
  <si>
    <t>乍得出口关税率</t>
  </si>
  <si>
    <t>按销售货值FOB计算</t>
  </si>
  <si>
    <t>Ocean_Freight</t>
  </si>
  <si>
    <t>海运费及杜阿拉港口港杂</t>
  </si>
  <si>
    <t>含港口杂费与海运费</t>
  </si>
  <si>
    <t>二、L6 价格引擎中间体计算 (Calculated Variables)</t>
  </si>
  <si>
    <t>DMT_Qty</t>
  </si>
  <si>
    <t>结算干吨总量 (DMT)</t>
  </si>
  <si>
    <t>吨 (DMT)</t>
  </si>
  <si>
    <t>干公吨 (已扣除天然水分)</t>
  </si>
  <si>
    <t>FOB_Price</t>
  </si>
  <si>
    <t>销售结算单价 (FOB)</t>
  </si>
  <si>
    <t>计算离岸单价，已含对应矿种计价规则</t>
  </si>
  <si>
    <t>三、L6 财务模型项目收支与利润表 (Profit &amp; Loss Statement)</t>
  </si>
  <si>
    <t>财务科目</t>
  </si>
  <si>
    <t>核算口径 / 逻辑关系</t>
  </si>
  <si>
    <t>总金额 (USD)</t>
  </si>
  <si>
    <t>折合单干吨成本</t>
  </si>
  <si>
    <t>科目类型</t>
  </si>
  <si>
    <t>项目销售总收入</t>
  </si>
  <si>
    <t>DMT_Qty * FOB_Price</t>
  </si>
  <si>
    <t>营业收入 (Revenue)</t>
  </si>
  <si>
    <t>1. 采购矿产支出</t>
  </si>
  <si>
    <t>DMT采购单价或吨度计算</t>
  </si>
  <si>
    <t>营运成本 (Costs)</t>
  </si>
  <si>
    <t>2. 内陆公路运费</t>
  </si>
  <si>
    <t>WMT * 卡车单价</t>
  </si>
  <si>
    <t>3. 铁路货运运费</t>
  </si>
  <si>
    <t>WMT * 铁路单价</t>
  </si>
  <si>
    <t>4. 通关及转关固定变动费</t>
  </si>
  <si>
    <t>DMT * 港杂费 + $6000固定商检费</t>
  </si>
  <si>
    <t>5. 资源出口关税</t>
  </si>
  <si>
    <t>销售总收入 * 关税率</t>
  </si>
  <si>
    <t>出口税费 (Taxes)</t>
  </si>
  <si>
    <t>6. 港杂与海运转转运费</t>
  </si>
  <si>
    <t>WMT * 运费单价</t>
  </si>
  <si>
    <t>7. 保险及财务信用证费</t>
  </si>
  <si>
    <t>销售总收入 * 0.9% 货值</t>
  </si>
  <si>
    <t>8. 额外Smelter TC/RC</t>
  </si>
  <si>
    <t>DMT * $0 (有色冶炼扣减)</t>
  </si>
  <si>
    <t>9. 应急预备缓冲费</t>
  </si>
  <si>
    <t>成本基础 * 5.0% 应急比率</t>
  </si>
  <si>
    <t>项目营运总成本</t>
  </si>
  <si>
    <t>采购+内陆+清关+关税+海运+杂费+TC/RC+应急</t>
  </si>
  <si>
    <t>成本总计 (Total Costs)</t>
  </si>
  <si>
    <t>项目预测净利润</t>
  </si>
  <si>
    <t>销售总收入 - 营运总成本</t>
  </si>
  <si>
    <t>营业利润 (Net Profit)</t>
  </si>
  <si>
    <t>预估毛利润率</t>
  </si>
  <si>
    <t>项目净利润 / 销售总收入</t>
  </si>
  <si>
    <t>-</t>
  </si>
  <si>
    <t>利润率 (Margin %)</t>
  </si>
  <si>
    <t>GCTS L6 钨精矿计价模型 (WO3 Pricing Model)</t>
  </si>
  <si>
    <t>原矿干基品位 WO3 (%)</t>
  </si>
  <si>
    <t>国际基准价 (APT 仲钨酸铵)</t>
  </si>
  <si>
    <t>美元/吨度 (USD/MTU)</t>
  </si>
  <si>
    <t>吨度计价基准 (1 MTU = 10kg WO3)</t>
  </si>
  <si>
    <t>粗精矿折扣系数</t>
  </si>
  <si>
    <t>乍得矿区采购单价 (吨度计)</t>
  </si>
  <si>
    <t>按吨度计算的本地采购价</t>
  </si>
  <si>
    <t>GCTS L6 锂精矿计价模型 (Li2O Spodumene Model)</t>
  </si>
  <si>
    <t>原矿干基品位 Li2O (%)</t>
  </si>
  <si>
    <t>实际测量锂品位</t>
  </si>
  <si>
    <t>6%锂精矿基准指数价</t>
  </si>
  <si>
    <t>美元/干吨 (USD/t)</t>
  </si>
  <si>
    <t>锂辉石精矿（6.0%品位）到岸参考价</t>
  </si>
  <si>
    <t>计价/折扣系数 (Payability)</t>
  </si>
  <si>
    <t>折价系数</t>
  </si>
  <si>
    <t>尼日利亚矿区采购单价</t>
  </si>
  <si>
    <t>公路汽运费 (Kogi-Lagos)</t>
  </si>
  <si>
    <t>卡车运费</t>
  </si>
  <si>
    <t>铁路运费</t>
  </si>
  <si>
    <t>无铁路</t>
  </si>
  <si>
    <t>通关港口变动费 (Lagos THC/CFS)</t>
  </si>
  <si>
    <t>尼日利亚出口税率</t>
  </si>
  <si>
    <t>海运费及港杂</t>
  </si>
  <si>
    <t>含港务与海运费</t>
  </si>
  <si>
    <t>GCTS L6 铜精矿计价模型 (Cu Pricing Model)</t>
  </si>
  <si>
    <t>原矿干基品位 Cu (%)</t>
  </si>
  <si>
    <t>精矿铜品位</t>
  </si>
  <si>
    <t>LME 铜金属期货基准价</t>
  </si>
  <si>
    <t>100%电解铜价格基准</t>
  </si>
  <si>
    <t>冶炼厂采购系数</t>
  </si>
  <si>
    <t>刚果金矿区采购单价</t>
  </si>
  <si>
    <t>公路汽运费 (Kolwezi-Dar es Salaam)</t>
  </si>
  <si>
    <t>跨国汽运费</t>
  </si>
  <si>
    <t>跨国转运铁运费</t>
  </si>
  <si>
    <t>通关变动港杂费 (Dar es Salaam)</t>
  </si>
  <si>
    <t>刚果金出口关税率</t>
  </si>
  <si>
    <t>DMT * $88 (有色冶炼扣减)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</si>
</sst>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>
    <font>
      <sz val="11"/>
      <color theme="1"/>
      <name val="宋体"/>
      <family val="2"/>
      <scheme val="minor"/>
    </font>
    <font>
      <b/>
      <sz val="16"/>
      <color rgb="FFFFFFFF"/>
      <name val="Segoe UI"/>
    </font>
    <font>
      <b/>
      <sz val="11"/>
      <color rgb="FF1F4E79"/>
      <name val="Segoe UI"/>
    </font>
    <font>
      <b/>
      <sz val="11"/>
      <color rgb="FFFFFFFF"/>
      <name val="Segoe UI"/>
    </font>
    <font>
      <b/>
      <sz val="11"/>
      <color rgb="FF000000"/>
      <name val="Segoe UI"/>
    </font>
    <font>
      <sz val="11"/>
      <color rgb="FF333333"/>
      <name val="Segoe UI"/>
    </font>
    <font>
      <b/>
      <sz val="11"/>
      <color rgb="FF385723"/>
      <name val="Segoe UI"/>
    </font>
    <font>
      <sz val="11"/>
      <color rgb="FFC00000"/>
      <name val="Segoe UI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D9E1F2"/>
        <bgColor rgb="FFD9E1F2"/>
      </patternFill>
    </fill>
    <fill>
      <patternFill patternType="solid">
        <fgColor rgb="FF2F5597"/>
        <bgColor rgb="FF2F5597"/>
      </patternFill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4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164" fontId="6" fillId="6" borderId="1" xfId="0" applyNumberFormat="1" applyFont="1" applyFill="1" applyBorder="1" applyAlignment="1">
      <alignment horizontal="right" vertical="center"/>
    </xf>
    <xf numFmtId="164" fontId="4" fillId="6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0" fontId="6" fillId="6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workbookViewId="0">
      <selection sqref="A1:E2"/>
    </sheetView>
  </sheetViews>
  <sheetFormatPr defaultRowHeight="14.1"/>
  <cols>
    <col min="1" max="1" width="27" customWidth="1"/>
    <col min="2" max="2" width="44" customWidth="1"/>
    <col min="3" max="3" width="40" customWidth="1"/>
    <col min="4" max="4" width="23" customWidth="1"/>
    <col min="5" max="5" width="38" customWidth="1"/>
  </cols>
  <sheetData>
    <row r="1" spans="1:5" ht="20.05" customHeight="1">
      <c r="A1" s="17" t="s">
        <v>0</v>
      </c>
      <c r="B1" s="16"/>
      <c r="C1" s="16"/>
      <c r="D1" s="16"/>
      <c r="E1" s="16"/>
    </row>
    <row r="2" spans="1:5" ht="20.05" customHeight="1">
      <c r="A2" s="16"/>
      <c r="B2" s="16"/>
      <c r="C2" s="16"/>
      <c r="D2" s="16"/>
      <c r="E2" s="16"/>
    </row>
    <row r="3" spans="1:5" ht="15" customHeight="1"/>
    <row r="4" spans="1:5" ht="25" customHeight="1">
      <c r="A4" s="15" t="s">
        <v>1</v>
      </c>
      <c r="B4" s="16"/>
      <c r="C4" s="16"/>
      <c r="D4" s="16"/>
      <c r="E4" s="16"/>
    </row>
    <row r="5" spans="1:5" ht="25" customHeight="1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ht="20.05" customHeight="1">
      <c r="A6" s="2" t="s">
        <v>7</v>
      </c>
      <c r="B6" s="3" t="s">
        <v>8</v>
      </c>
      <c r="C6" s="4">
        <v>526.29999999999995</v>
      </c>
      <c r="D6" s="3" t="s">
        <v>9</v>
      </c>
      <c r="E6" s="3" t="s">
        <v>10</v>
      </c>
    </row>
    <row r="7" spans="1:5" ht="20.05" customHeight="1">
      <c r="A7" s="2" t="s">
        <v>11</v>
      </c>
      <c r="B7" s="3" t="s">
        <v>12</v>
      </c>
      <c r="C7" s="5">
        <v>0.05</v>
      </c>
      <c r="D7" s="3" t="s">
        <v>13</v>
      </c>
      <c r="E7" s="3" t="s">
        <v>14</v>
      </c>
    </row>
    <row r="8" spans="1:5" ht="20.05" customHeight="1">
      <c r="A8" s="2" t="s">
        <v>15</v>
      </c>
      <c r="B8" s="3" t="s">
        <v>16</v>
      </c>
      <c r="C8" s="5">
        <v>0.5</v>
      </c>
      <c r="D8" s="3" t="s">
        <v>13</v>
      </c>
      <c r="E8" s="3" t="s">
        <v>17</v>
      </c>
    </row>
    <row r="9" spans="1:5" ht="20.05" customHeight="1">
      <c r="A9" s="2" t="s">
        <v>18</v>
      </c>
      <c r="B9" s="3" t="s">
        <v>19</v>
      </c>
      <c r="C9" s="6">
        <v>55000</v>
      </c>
      <c r="D9" s="3" t="s">
        <v>20</v>
      </c>
      <c r="E9" s="3" t="s">
        <v>21</v>
      </c>
    </row>
    <row r="10" spans="1:5" ht="20.05" customHeight="1">
      <c r="A10" s="2" t="s">
        <v>22</v>
      </c>
      <c r="B10" s="3" t="s">
        <v>23</v>
      </c>
      <c r="C10" s="5">
        <v>0.8</v>
      </c>
      <c r="D10" s="3" t="s">
        <v>13</v>
      </c>
      <c r="E10" s="3" t="s">
        <v>24</v>
      </c>
    </row>
    <row r="11" spans="1:5" ht="20.05" customHeight="1">
      <c r="A11" s="2" t="s">
        <v>25</v>
      </c>
      <c r="B11" s="3" t="s">
        <v>26</v>
      </c>
      <c r="C11" s="6">
        <v>3000</v>
      </c>
      <c r="D11" s="3" t="s">
        <v>27</v>
      </c>
      <c r="E11" s="3" t="s">
        <v>28</v>
      </c>
    </row>
    <row r="12" spans="1:5" ht="20.05" customHeight="1">
      <c r="A12" s="2" t="s">
        <v>29</v>
      </c>
      <c r="B12" s="3" t="s">
        <v>30</v>
      </c>
      <c r="C12" s="6">
        <v>200</v>
      </c>
      <c r="D12" s="3" t="s">
        <v>31</v>
      </c>
      <c r="E12" s="3" t="s">
        <v>32</v>
      </c>
    </row>
    <row r="13" spans="1:5" ht="20.05" customHeight="1">
      <c r="A13" s="2" t="s">
        <v>33</v>
      </c>
      <c r="B13" s="3" t="s">
        <v>34</v>
      </c>
      <c r="C13" s="6">
        <v>120</v>
      </c>
      <c r="D13" s="3" t="s">
        <v>31</v>
      </c>
      <c r="E13" s="3" t="s">
        <v>35</v>
      </c>
    </row>
    <row r="14" spans="1:5" ht="20.05" customHeight="1">
      <c r="A14" s="2" t="s">
        <v>36</v>
      </c>
      <c r="B14" s="3" t="s">
        <v>37</v>
      </c>
      <c r="C14" s="6">
        <v>35</v>
      </c>
      <c r="D14" s="3" t="s">
        <v>27</v>
      </c>
      <c r="E14" s="3" t="s">
        <v>38</v>
      </c>
    </row>
    <row r="15" spans="1:5" ht="20.05" customHeight="1">
      <c r="A15" s="2" t="s">
        <v>39</v>
      </c>
      <c r="B15" s="3" t="s">
        <v>40</v>
      </c>
      <c r="C15" s="5">
        <v>0.02</v>
      </c>
      <c r="D15" s="3" t="s">
        <v>13</v>
      </c>
      <c r="E15" s="3" t="s">
        <v>41</v>
      </c>
    </row>
    <row r="16" spans="1:5" ht="20.05" customHeight="1">
      <c r="A16" s="2" t="s">
        <v>42</v>
      </c>
      <c r="B16" s="3" t="s">
        <v>43</v>
      </c>
      <c r="C16" s="6">
        <v>65</v>
      </c>
      <c r="D16" s="3" t="s">
        <v>31</v>
      </c>
      <c r="E16" s="3" t="s">
        <v>44</v>
      </c>
    </row>
    <row r="18" spans="1:5" ht="25" customHeight="1">
      <c r="A18" s="15" t="s">
        <v>45</v>
      </c>
      <c r="B18" s="16"/>
      <c r="C18" s="16"/>
      <c r="D18" s="16"/>
      <c r="E18" s="16"/>
    </row>
    <row r="19" spans="1:5" ht="20.05" customHeight="1">
      <c r="A19" s="2" t="s">
        <v>46</v>
      </c>
      <c r="B19" s="3" t="s">
        <v>47</v>
      </c>
      <c r="C19" s="7">
        <f>C6*(1-C7)</f>
        <v>499.98499999999996</v>
      </c>
      <c r="D19" s="3" t="s">
        <v>48</v>
      </c>
      <c r="E19" s="3" t="s">
        <v>49</v>
      </c>
    </row>
    <row r="20" spans="1:5" ht="20.05" customHeight="1">
      <c r="A20" s="2" t="s">
        <v>50</v>
      </c>
      <c r="B20" s="3" t="s">
        <v>51</v>
      </c>
      <c r="C20" s="8">
        <f>C9*C8*C10 - 1200</f>
        <v>20800</v>
      </c>
      <c r="D20" s="3" t="s">
        <v>27</v>
      </c>
      <c r="E20" s="3" t="s">
        <v>52</v>
      </c>
    </row>
    <row r="22" spans="1:5" ht="25" customHeight="1">
      <c r="A22" s="15" t="s">
        <v>53</v>
      </c>
      <c r="B22" s="16"/>
      <c r="C22" s="16"/>
      <c r="D22" s="16"/>
      <c r="E22" s="16"/>
    </row>
    <row r="23" spans="1:5" ht="25" customHeight="1">
      <c r="A23" s="1" t="s">
        <v>54</v>
      </c>
      <c r="B23" s="1" t="s">
        <v>55</v>
      </c>
      <c r="C23" s="1" t="s">
        <v>56</v>
      </c>
      <c r="D23" s="1" t="s">
        <v>57</v>
      </c>
      <c r="E23" s="1" t="s">
        <v>58</v>
      </c>
    </row>
    <row r="24" spans="1:5" ht="22" customHeight="1">
      <c r="A24" s="2" t="s">
        <v>59</v>
      </c>
      <c r="B24" s="3" t="s">
        <v>60</v>
      </c>
      <c r="C24" s="9">
        <f>C19*C20</f>
        <v>10399688</v>
      </c>
      <c r="D24" s="10">
        <f t="shared" ref="D24:D35" si="0">C24/C$19</f>
        <v>20800</v>
      </c>
      <c r="E24" s="3" t="s">
        <v>61</v>
      </c>
    </row>
    <row r="25" spans="1:5" ht="22" customHeight="1">
      <c r="A25" s="3" t="s">
        <v>62</v>
      </c>
      <c r="B25" s="3" t="s">
        <v>63</v>
      </c>
      <c r="C25" s="11">
        <f>C19*C11</f>
        <v>1499954.9999999998</v>
      </c>
      <c r="D25" s="11">
        <f t="shared" si="0"/>
        <v>3000</v>
      </c>
      <c r="E25" s="3" t="s">
        <v>64</v>
      </c>
    </row>
    <row r="26" spans="1:5" ht="22" customHeight="1">
      <c r="A26" s="3" t="s">
        <v>65</v>
      </c>
      <c r="B26" s="3" t="s">
        <v>66</v>
      </c>
      <c r="C26" s="11">
        <f>C6*C12</f>
        <v>105259.99999999999</v>
      </c>
      <c r="D26" s="11">
        <f t="shared" si="0"/>
        <v>210.52631578947367</v>
      </c>
      <c r="E26" s="3" t="s">
        <v>64</v>
      </c>
    </row>
    <row r="27" spans="1:5" ht="22" customHeight="1">
      <c r="A27" s="3" t="s">
        <v>67</v>
      </c>
      <c r="B27" s="3" t="s">
        <v>68</v>
      </c>
      <c r="C27" s="11">
        <f>C6*C13</f>
        <v>63155.999999999993</v>
      </c>
      <c r="D27" s="11">
        <f t="shared" si="0"/>
        <v>126.31578947368421</v>
      </c>
      <c r="E27" s="3" t="s">
        <v>64</v>
      </c>
    </row>
    <row r="28" spans="1:5" ht="22" customHeight="1">
      <c r="A28" s="3" t="s">
        <v>69</v>
      </c>
      <c r="B28" s="3" t="s">
        <v>70</v>
      </c>
      <c r="C28" s="11">
        <f>C19*C14+6000</f>
        <v>23499.474999999999</v>
      </c>
      <c r="D28" s="11">
        <f t="shared" si="0"/>
        <v>47.000360010800328</v>
      </c>
      <c r="E28" s="3" t="s">
        <v>64</v>
      </c>
    </row>
    <row r="29" spans="1:5" ht="22" customHeight="1">
      <c r="A29" s="3" t="s">
        <v>71</v>
      </c>
      <c r="B29" s="3" t="s">
        <v>72</v>
      </c>
      <c r="C29" s="11">
        <f>C24*C15</f>
        <v>207993.76</v>
      </c>
      <c r="D29" s="11">
        <f t="shared" si="0"/>
        <v>416.00000000000006</v>
      </c>
      <c r="E29" s="3" t="s">
        <v>73</v>
      </c>
    </row>
    <row r="30" spans="1:5" ht="22" customHeight="1">
      <c r="A30" s="3" t="s">
        <v>74</v>
      </c>
      <c r="B30" s="3" t="s">
        <v>75</v>
      </c>
      <c r="C30" s="11">
        <f>C6*C16</f>
        <v>34209.5</v>
      </c>
      <c r="D30" s="11">
        <f t="shared" si="0"/>
        <v>68.421052631578959</v>
      </c>
      <c r="E30" s="3" t="s">
        <v>64</v>
      </c>
    </row>
    <row r="31" spans="1:5" ht="22" customHeight="1">
      <c r="A31" s="3" t="s">
        <v>76</v>
      </c>
      <c r="B31" s="3" t="s">
        <v>77</v>
      </c>
      <c r="C31" s="11">
        <f>C24*0.009</f>
        <v>93597.191999999995</v>
      </c>
      <c r="D31" s="11">
        <f t="shared" si="0"/>
        <v>187.20000000000002</v>
      </c>
      <c r="E31" s="3" t="s">
        <v>64</v>
      </c>
    </row>
    <row r="32" spans="1:5" ht="22" customHeight="1">
      <c r="A32" s="3" t="s">
        <v>78</v>
      </c>
      <c r="B32" s="3" t="s">
        <v>79</v>
      </c>
      <c r="C32" s="11">
        <f>C19*0</f>
        <v>0</v>
      </c>
      <c r="D32" s="11">
        <f t="shared" si="0"/>
        <v>0</v>
      </c>
      <c r="E32" s="3" t="s">
        <v>64</v>
      </c>
    </row>
    <row r="33" spans="1:5" ht="22" customHeight="1">
      <c r="A33" s="3" t="s">
        <v>80</v>
      </c>
      <c r="B33" s="3" t="s">
        <v>81</v>
      </c>
      <c r="C33" s="11">
        <f>0.05*(C25+C26+C27+C28+C30+C31+C32)</f>
        <v>90983.858349999995</v>
      </c>
      <c r="D33" s="11">
        <f t="shared" si="0"/>
        <v>181.97317589527685</v>
      </c>
      <c r="E33" s="3" t="s">
        <v>64</v>
      </c>
    </row>
    <row r="34" spans="1:5" ht="22" customHeight="1">
      <c r="A34" s="2" t="s">
        <v>82</v>
      </c>
      <c r="B34" s="3" t="s">
        <v>83</v>
      </c>
      <c r="C34" s="12">
        <f>C25+C26+C27+C28+C29+C30+C31+C32+C33</f>
        <v>2118654.78535</v>
      </c>
      <c r="D34" s="6">
        <f t="shared" si="0"/>
        <v>4237.4366938008143</v>
      </c>
      <c r="E34" s="3" t="s">
        <v>84</v>
      </c>
    </row>
    <row r="35" spans="1:5" ht="22" customHeight="1">
      <c r="A35" s="2" t="s">
        <v>85</v>
      </c>
      <c r="B35" s="3" t="s">
        <v>86</v>
      </c>
      <c r="C35" s="9">
        <f>C24-C34</f>
        <v>8281033.2146499995</v>
      </c>
      <c r="D35" s="9">
        <f t="shared" si="0"/>
        <v>16562.563306199187</v>
      </c>
      <c r="E35" s="3" t="s">
        <v>87</v>
      </c>
    </row>
    <row r="36" spans="1:5" ht="22" customHeight="1">
      <c r="A36" s="2" t="s">
        <v>88</v>
      </c>
      <c r="B36" s="3" t="s">
        <v>89</v>
      </c>
      <c r="C36" s="13">
        <f>C35/C24</f>
        <v>0.79627708202880698</v>
      </c>
      <c r="D36" s="14" t="s">
        <v>90</v>
      </c>
      <c r="E36" s="3" t="s">
        <v>91</v>
      </c>
    </row>
  </sheetData>
  <mergeCells count="4">
    <mergeCell ref="A22:E22"/>
    <mergeCell ref="A4:E4"/>
    <mergeCell ref="A1:E2"/>
    <mergeCell ref="A18:E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workbookViewId="0"/>
  </sheetViews>
  <sheetFormatPr defaultRowHeight="14.1"/>
  <cols>
    <col min="1" max="1" width="27" customWidth="1"/>
    <col min="2" max="2" width="44" customWidth="1"/>
    <col min="3" max="3" width="40" customWidth="1"/>
    <col min="4" max="4" width="23" customWidth="1"/>
    <col min="5" max="5" width="38" customWidth="1"/>
  </cols>
  <sheetData>
    <row r="1" spans="1:5" ht="20.05" customHeight="1">
      <c r="A1" s="17" t="s">
        <v>92</v>
      </c>
      <c r="B1" s="16"/>
      <c r="C1" s="16"/>
      <c r="D1" s="16"/>
      <c r="E1" s="16"/>
    </row>
    <row r="2" spans="1:5" ht="20.05" customHeight="1">
      <c r="A2" s="16"/>
      <c r="B2" s="16"/>
      <c r="C2" s="16"/>
      <c r="D2" s="16"/>
      <c r="E2" s="16"/>
    </row>
    <row r="3" spans="1:5" ht="15" customHeight="1"/>
    <row r="4" spans="1:5" ht="25" customHeight="1">
      <c r="A4" s="15" t="s">
        <v>1</v>
      </c>
      <c r="B4" s="16"/>
      <c r="C4" s="16"/>
      <c r="D4" s="16"/>
      <c r="E4" s="16"/>
    </row>
    <row r="5" spans="1:5" ht="25" customHeight="1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ht="20.05" customHeight="1">
      <c r="A6" s="2" t="s">
        <v>7</v>
      </c>
      <c r="B6" s="3" t="s">
        <v>8</v>
      </c>
      <c r="C6" s="4">
        <v>30.61</v>
      </c>
      <c r="D6" s="3" t="s">
        <v>9</v>
      </c>
      <c r="E6" s="3" t="s">
        <v>10</v>
      </c>
    </row>
    <row r="7" spans="1:5" ht="20.05" customHeight="1">
      <c r="A7" s="2" t="s">
        <v>11</v>
      </c>
      <c r="B7" s="3" t="s">
        <v>12</v>
      </c>
      <c r="C7" s="5">
        <v>0.02</v>
      </c>
      <c r="D7" s="3" t="s">
        <v>13</v>
      </c>
      <c r="E7" s="3" t="s">
        <v>14</v>
      </c>
    </row>
    <row r="8" spans="1:5" ht="20.05" customHeight="1">
      <c r="A8" s="2" t="s">
        <v>15</v>
      </c>
      <c r="B8" s="3" t="s">
        <v>93</v>
      </c>
      <c r="C8" s="5">
        <v>0.43</v>
      </c>
      <c r="D8" s="3" t="s">
        <v>13</v>
      </c>
      <c r="E8" s="3" t="s">
        <v>17</v>
      </c>
    </row>
    <row r="9" spans="1:5" ht="20.05" customHeight="1">
      <c r="A9" s="2" t="s">
        <v>18</v>
      </c>
      <c r="B9" s="3" t="s">
        <v>94</v>
      </c>
      <c r="C9" s="6">
        <v>3000</v>
      </c>
      <c r="D9" s="3" t="s">
        <v>95</v>
      </c>
      <c r="E9" s="3" t="s">
        <v>96</v>
      </c>
    </row>
    <row r="10" spans="1:5" ht="20.05" customHeight="1">
      <c r="A10" s="2" t="s">
        <v>22</v>
      </c>
      <c r="B10" s="3" t="s">
        <v>23</v>
      </c>
      <c r="C10" s="5">
        <v>0.45</v>
      </c>
      <c r="D10" s="3" t="s">
        <v>13</v>
      </c>
      <c r="E10" s="3" t="s">
        <v>97</v>
      </c>
    </row>
    <row r="11" spans="1:5" ht="20.05" customHeight="1">
      <c r="A11" s="2" t="s">
        <v>25</v>
      </c>
      <c r="B11" s="3" t="s">
        <v>98</v>
      </c>
      <c r="C11" s="6">
        <v>750</v>
      </c>
      <c r="D11" s="3" t="s">
        <v>95</v>
      </c>
      <c r="E11" s="3" t="s">
        <v>99</v>
      </c>
    </row>
    <row r="12" spans="1:5" ht="20.05" customHeight="1">
      <c r="A12" s="2" t="s">
        <v>29</v>
      </c>
      <c r="B12" s="3" t="s">
        <v>30</v>
      </c>
      <c r="C12" s="6">
        <v>200</v>
      </c>
      <c r="D12" s="3" t="s">
        <v>31</v>
      </c>
      <c r="E12" s="3" t="s">
        <v>32</v>
      </c>
    </row>
    <row r="13" spans="1:5" ht="20.05" customHeight="1">
      <c r="A13" s="2" t="s">
        <v>33</v>
      </c>
      <c r="B13" s="3" t="s">
        <v>34</v>
      </c>
      <c r="C13" s="6">
        <v>120</v>
      </c>
      <c r="D13" s="3" t="s">
        <v>31</v>
      </c>
      <c r="E13" s="3" t="s">
        <v>35</v>
      </c>
    </row>
    <row r="14" spans="1:5" ht="20.05" customHeight="1">
      <c r="A14" s="2" t="s">
        <v>36</v>
      </c>
      <c r="B14" s="3" t="s">
        <v>37</v>
      </c>
      <c r="C14" s="6">
        <v>35</v>
      </c>
      <c r="D14" s="3" t="s">
        <v>27</v>
      </c>
      <c r="E14" s="3" t="s">
        <v>38</v>
      </c>
    </row>
    <row r="15" spans="1:5" ht="20.05" customHeight="1">
      <c r="A15" s="2" t="s">
        <v>39</v>
      </c>
      <c r="B15" s="3" t="s">
        <v>40</v>
      </c>
      <c r="C15" s="5">
        <v>0.02</v>
      </c>
      <c r="D15" s="3" t="s">
        <v>13</v>
      </c>
      <c r="E15" s="3" t="s">
        <v>41</v>
      </c>
    </row>
    <row r="16" spans="1:5" ht="20.05" customHeight="1">
      <c r="A16" s="2" t="s">
        <v>42</v>
      </c>
      <c r="B16" s="3" t="s">
        <v>43</v>
      </c>
      <c r="C16" s="6">
        <v>65</v>
      </c>
      <c r="D16" s="3" t="s">
        <v>31</v>
      </c>
      <c r="E16" s="3" t="s">
        <v>44</v>
      </c>
    </row>
    <row r="18" spans="1:5" ht="25" customHeight="1">
      <c r="A18" s="15" t="s">
        <v>45</v>
      </c>
      <c r="B18" s="16"/>
      <c r="C18" s="16"/>
      <c r="D18" s="16"/>
      <c r="E18" s="16"/>
    </row>
    <row r="19" spans="1:5" ht="20.05" customHeight="1">
      <c r="A19" s="2" t="s">
        <v>46</v>
      </c>
      <c r="B19" s="3" t="s">
        <v>47</v>
      </c>
      <c r="C19" s="7">
        <f>C6*(1-C7)</f>
        <v>29.997799999999998</v>
      </c>
      <c r="D19" s="3" t="s">
        <v>48</v>
      </c>
      <c r="E19" s="3" t="s">
        <v>49</v>
      </c>
    </row>
    <row r="20" spans="1:5" ht="20.05" customHeight="1">
      <c r="A20" s="2" t="s">
        <v>50</v>
      </c>
      <c r="B20" s="3" t="s">
        <v>51</v>
      </c>
      <c r="C20" s="8">
        <f>C9*C8*100*C10</f>
        <v>58050</v>
      </c>
      <c r="D20" s="3" t="s">
        <v>27</v>
      </c>
      <c r="E20" s="3" t="s">
        <v>52</v>
      </c>
    </row>
    <row r="22" spans="1:5" ht="25" customHeight="1">
      <c r="A22" s="15" t="s">
        <v>53</v>
      </c>
      <c r="B22" s="16"/>
      <c r="C22" s="16"/>
      <c r="D22" s="16"/>
      <c r="E22" s="16"/>
    </row>
    <row r="23" spans="1:5" ht="25" customHeight="1">
      <c r="A23" s="1" t="s">
        <v>54</v>
      </c>
      <c r="B23" s="1" t="s">
        <v>55</v>
      </c>
      <c r="C23" s="1" t="s">
        <v>56</v>
      </c>
      <c r="D23" s="1" t="s">
        <v>57</v>
      </c>
      <c r="E23" s="1" t="s">
        <v>58</v>
      </c>
    </row>
    <row r="24" spans="1:5" ht="22" customHeight="1">
      <c r="A24" s="2" t="s">
        <v>59</v>
      </c>
      <c r="B24" s="3" t="s">
        <v>60</v>
      </c>
      <c r="C24" s="9">
        <f>C19*C20</f>
        <v>1741372.2899999998</v>
      </c>
      <c r="D24" s="10">
        <f t="shared" ref="D24:D35" si="0">C24/C$19</f>
        <v>58050</v>
      </c>
      <c r="E24" s="3" t="s">
        <v>61</v>
      </c>
    </row>
    <row r="25" spans="1:5" ht="22" customHeight="1">
      <c r="A25" s="3" t="s">
        <v>62</v>
      </c>
      <c r="B25" s="3" t="s">
        <v>63</v>
      </c>
      <c r="C25" s="11">
        <f>C19*C8*100*C11</f>
        <v>967429.04999999993</v>
      </c>
      <c r="D25" s="11">
        <f t="shared" si="0"/>
        <v>32250</v>
      </c>
      <c r="E25" s="3" t="s">
        <v>64</v>
      </c>
    </row>
    <row r="26" spans="1:5" ht="22" customHeight="1">
      <c r="A26" s="3" t="s">
        <v>65</v>
      </c>
      <c r="B26" s="3" t="s">
        <v>66</v>
      </c>
      <c r="C26" s="11">
        <f>C6*C12</f>
        <v>6122</v>
      </c>
      <c r="D26" s="11">
        <f t="shared" si="0"/>
        <v>204.08163265306123</v>
      </c>
      <c r="E26" s="3" t="s">
        <v>64</v>
      </c>
    </row>
    <row r="27" spans="1:5" ht="22" customHeight="1">
      <c r="A27" s="3" t="s">
        <v>67</v>
      </c>
      <c r="B27" s="3" t="s">
        <v>68</v>
      </c>
      <c r="C27" s="11">
        <f>C6*C13</f>
        <v>3673.2</v>
      </c>
      <c r="D27" s="11">
        <f t="shared" si="0"/>
        <v>122.44897959183673</v>
      </c>
      <c r="E27" s="3" t="s">
        <v>64</v>
      </c>
    </row>
    <row r="28" spans="1:5" ht="22" customHeight="1">
      <c r="A28" s="3" t="s">
        <v>69</v>
      </c>
      <c r="B28" s="3" t="s">
        <v>70</v>
      </c>
      <c r="C28" s="11">
        <f>C19*C14+6000</f>
        <v>7049.9229999999998</v>
      </c>
      <c r="D28" s="11">
        <f t="shared" si="0"/>
        <v>235.0146677423011</v>
      </c>
      <c r="E28" s="3" t="s">
        <v>64</v>
      </c>
    </row>
    <row r="29" spans="1:5" ht="22" customHeight="1">
      <c r="A29" s="3" t="s">
        <v>71</v>
      </c>
      <c r="B29" s="3" t="s">
        <v>72</v>
      </c>
      <c r="C29" s="11">
        <f>C24*C15</f>
        <v>34827.445799999994</v>
      </c>
      <c r="D29" s="11">
        <f t="shared" si="0"/>
        <v>1160.9999999999998</v>
      </c>
      <c r="E29" s="3" t="s">
        <v>73</v>
      </c>
    </row>
    <row r="30" spans="1:5" ht="22" customHeight="1">
      <c r="A30" s="3" t="s">
        <v>74</v>
      </c>
      <c r="B30" s="3" t="s">
        <v>75</v>
      </c>
      <c r="C30" s="11">
        <f>C6*C16</f>
        <v>1989.6499999999999</v>
      </c>
      <c r="D30" s="11">
        <f t="shared" si="0"/>
        <v>66.326530612244895</v>
      </c>
      <c r="E30" s="3" t="s">
        <v>64</v>
      </c>
    </row>
    <row r="31" spans="1:5" ht="22" customHeight="1">
      <c r="A31" s="3" t="s">
        <v>76</v>
      </c>
      <c r="B31" s="3" t="s">
        <v>77</v>
      </c>
      <c r="C31" s="11">
        <f>C24*0.009</f>
        <v>15672.350609999998</v>
      </c>
      <c r="D31" s="11">
        <f t="shared" si="0"/>
        <v>522.44999999999993</v>
      </c>
      <c r="E31" s="3" t="s">
        <v>64</v>
      </c>
    </row>
    <row r="32" spans="1:5" ht="22" customHeight="1">
      <c r="A32" s="3" t="s">
        <v>78</v>
      </c>
      <c r="B32" s="3" t="s">
        <v>79</v>
      </c>
      <c r="C32" s="11">
        <f>C19*0</f>
        <v>0</v>
      </c>
      <c r="D32" s="11">
        <f t="shared" si="0"/>
        <v>0</v>
      </c>
      <c r="E32" s="3" t="s">
        <v>64</v>
      </c>
    </row>
    <row r="33" spans="1:5" ht="22" customHeight="1">
      <c r="A33" s="3" t="s">
        <v>80</v>
      </c>
      <c r="B33" s="3" t="s">
        <v>81</v>
      </c>
      <c r="C33" s="11">
        <f>0.05*(C25+C26+C27+C28+C30+C31+C32)</f>
        <v>50096.808680499991</v>
      </c>
      <c r="D33" s="11">
        <f t="shared" si="0"/>
        <v>1670.016090529972</v>
      </c>
      <c r="E33" s="3" t="s">
        <v>64</v>
      </c>
    </row>
    <row r="34" spans="1:5" ht="22" customHeight="1">
      <c r="A34" s="2" t="s">
        <v>82</v>
      </c>
      <c r="B34" s="3" t="s">
        <v>83</v>
      </c>
      <c r="C34" s="12">
        <f>C25+C26+C27+C28+C29+C30+C31+C32+C33</f>
        <v>1086860.4280904997</v>
      </c>
      <c r="D34" s="6">
        <f t="shared" si="0"/>
        <v>36231.337901129409</v>
      </c>
      <c r="E34" s="3" t="s">
        <v>84</v>
      </c>
    </row>
    <row r="35" spans="1:5" ht="22" customHeight="1">
      <c r="A35" s="2" t="s">
        <v>85</v>
      </c>
      <c r="B35" s="3" t="s">
        <v>86</v>
      </c>
      <c r="C35" s="9">
        <f>C24-C34</f>
        <v>654511.86190950009</v>
      </c>
      <c r="D35" s="9">
        <f t="shared" si="0"/>
        <v>21818.662098870587</v>
      </c>
      <c r="E35" s="3" t="s">
        <v>87</v>
      </c>
    </row>
    <row r="36" spans="1:5" ht="22" customHeight="1">
      <c r="A36" s="2" t="s">
        <v>88</v>
      </c>
      <c r="B36" s="3" t="s">
        <v>89</v>
      </c>
      <c r="C36" s="13">
        <f>C35/C24</f>
        <v>0.37585981221137965</v>
      </c>
      <c r="D36" s="14" t="s">
        <v>90</v>
      </c>
      <c r="E36" s="3" t="s">
        <v>91</v>
      </c>
    </row>
  </sheetData>
  <mergeCells count="4">
    <mergeCell ref="A22:E22"/>
    <mergeCell ref="A4:E4"/>
    <mergeCell ref="A1:E2"/>
    <mergeCell ref="A18:E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workbookViewId="0"/>
  </sheetViews>
  <sheetFormatPr defaultRowHeight="14.1"/>
  <cols>
    <col min="1" max="1" width="27" customWidth="1"/>
    <col min="2" max="2" width="44" customWidth="1"/>
    <col min="3" max="3" width="40" customWidth="1"/>
    <col min="4" max="4" width="23" customWidth="1"/>
    <col min="5" max="5" width="38" customWidth="1"/>
  </cols>
  <sheetData>
    <row r="1" spans="1:5" ht="20.05" customHeight="1">
      <c r="A1" s="17" t="s">
        <v>100</v>
      </c>
      <c r="B1" s="16"/>
      <c r="C1" s="16"/>
      <c r="D1" s="16"/>
      <c r="E1" s="16"/>
    </row>
    <row r="2" spans="1:5" ht="20.05" customHeight="1">
      <c r="A2" s="16"/>
      <c r="B2" s="16"/>
      <c r="C2" s="16"/>
      <c r="D2" s="16"/>
      <c r="E2" s="16"/>
    </row>
    <row r="3" spans="1:5" ht="15" customHeight="1"/>
    <row r="4" spans="1:5" ht="25" customHeight="1">
      <c r="A4" s="15" t="s">
        <v>1</v>
      </c>
      <c r="B4" s="16"/>
      <c r="C4" s="16"/>
      <c r="D4" s="16"/>
      <c r="E4" s="16"/>
    </row>
    <row r="5" spans="1:5" ht="25" customHeight="1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ht="20.05" customHeight="1">
      <c r="A6" s="2" t="s">
        <v>7</v>
      </c>
      <c r="B6" s="3" t="s">
        <v>8</v>
      </c>
      <c r="C6" s="4">
        <v>1030.9000000000001</v>
      </c>
      <c r="D6" s="3" t="s">
        <v>9</v>
      </c>
      <c r="E6" s="3" t="s">
        <v>10</v>
      </c>
    </row>
    <row r="7" spans="1:5" ht="20.05" customHeight="1">
      <c r="A7" s="2" t="s">
        <v>11</v>
      </c>
      <c r="B7" s="3" t="s">
        <v>12</v>
      </c>
      <c r="C7" s="5">
        <v>0.03</v>
      </c>
      <c r="D7" s="3" t="s">
        <v>13</v>
      </c>
      <c r="E7" s="3" t="s">
        <v>14</v>
      </c>
    </row>
    <row r="8" spans="1:5" ht="20.05" customHeight="1">
      <c r="A8" s="2" t="s">
        <v>15</v>
      </c>
      <c r="B8" s="3" t="s">
        <v>101</v>
      </c>
      <c r="C8" s="5">
        <v>0.06</v>
      </c>
      <c r="D8" s="3" t="s">
        <v>13</v>
      </c>
      <c r="E8" s="3" t="s">
        <v>102</v>
      </c>
    </row>
    <row r="9" spans="1:5" ht="20.05" customHeight="1">
      <c r="A9" s="2" t="s">
        <v>18</v>
      </c>
      <c r="B9" s="3" t="s">
        <v>103</v>
      </c>
      <c r="C9" s="6">
        <v>1500</v>
      </c>
      <c r="D9" s="3" t="s">
        <v>104</v>
      </c>
      <c r="E9" s="3" t="s">
        <v>105</v>
      </c>
    </row>
    <row r="10" spans="1:5" ht="20.05" customHeight="1">
      <c r="A10" s="2" t="s">
        <v>22</v>
      </c>
      <c r="B10" s="3" t="s">
        <v>106</v>
      </c>
      <c r="C10" s="5">
        <v>0.75</v>
      </c>
      <c r="D10" s="3" t="s">
        <v>13</v>
      </c>
      <c r="E10" s="3" t="s">
        <v>107</v>
      </c>
    </row>
    <row r="11" spans="1:5" ht="20.05" customHeight="1">
      <c r="A11" s="2" t="s">
        <v>25</v>
      </c>
      <c r="B11" s="3" t="s">
        <v>108</v>
      </c>
      <c r="C11" s="6">
        <v>750</v>
      </c>
      <c r="D11" s="3" t="s">
        <v>27</v>
      </c>
      <c r="E11" s="3" t="s">
        <v>28</v>
      </c>
    </row>
    <row r="12" spans="1:5" ht="20.05" customHeight="1">
      <c r="A12" s="2" t="s">
        <v>29</v>
      </c>
      <c r="B12" s="3" t="s">
        <v>109</v>
      </c>
      <c r="C12" s="6">
        <v>80</v>
      </c>
      <c r="D12" s="3" t="s">
        <v>31</v>
      </c>
      <c r="E12" s="3" t="s">
        <v>110</v>
      </c>
    </row>
    <row r="13" spans="1:5" ht="20.05" customHeight="1">
      <c r="A13" s="2" t="s">
        <v>33</v>
      </c>
      <c r="B13" s="3" t="s">
        <v>111</v>
      </c>
      <c r="C13" s="6">
        <v>0</v>
      </c>
      <c r="D13" s="3" t="s">
        <v>31</v>
      </c>
      <c r="E13" s="3" t="s">
        <v>112</v>
      </c>
    </row>
    <row r="14" spans="1:5" ht="20.05" customHeight="1">
      <c r="A14" s="2" t="s">
        <v>36</v>
      </c>
      <c r="B14" s="3" t="s">
        <v>113</v>
      </c>
      <c r="C14" s="6">
        <v>30</v>
      </c>
      <c r="D14" s="3" t="s">
        <v>27</v>
      </c>
      <c r="E14" s="3" t="s">
        <v>38</v>
      </c>
    </row>
    <row r="15" spans="1:5" ht="20.05" customHeight="1">
      <c r="A15" s="2" t="s">
        <v>39</v>
      </c>
      <c r="B15" s="3" t="s">
        <v>114</v>
      </c>
      <c r="C15" s="5">
        <v>0.01</v>
      </c>
      <c r="D15" s="3" t="s">
        <v>13</v>
      </c>
      <c r="E15" s="3" t="s">
        <v>41</v>
      </c>
    </row>
    <row r="16" spans="1:5" ht="20.05" customHeight="1">
      <c r="A16" s="2" t="s">
        <v>42</v>
      </c>
      <c r="B16" s="3" t="s">
        <v>115</v>
      </c>
      <c r="C16" s="6">
        <v>70</v>
      </c>
      <c r="D16" s="3" t="s">
        <v>31</v>
      </c>
      <c r="E16" s="3" t="s">
        <v>116</v>
      </c>
    </row>
    <row r="18" spans="1:5" ht="25" customHeight="1">
      <c r="A18" s="15" t="s">
        <v>45</v>
      </c>
      <c r="B18" s="16"/>
      <c r="C18" s="16"/>
      <c r="D18" s="16"/>
      <c r="E18" s="16"/>
    </row>
    <row r="19" spans="1:5" ht="20.05" customHeight="1">
      <c r="A19" s="2" t="s">
        <v>46</v>
      </c>
      <c r="B19" s="3" t="s">
        <v>47</v>
      </c>
      <c r="C19" s="7">
        <f>C6*(1-C7)</f>
        <v>999.97300000000007</v>
      </c>
      <c r="D19" s="3" t="s">
        <v>48</v>
      </c>
      <c r="E19" s="3" t="s">
        <v>49</v>
      </c>
    </row>
    <row r="20" spans="1:5" ht="20.05" customHeight="1">
      <c r="A20" s="2" t="s">
        <v>50</v>
      </c>
      <c r="B20" s="3" t="s">
        <v>51</v>
      </c>
      <c r="C20" s="8">
        <f>C9*(C8/0.06)*C10</f>
        <v>1125</v>
      </c>
      <c r="D20" s="3" t="s">
        <v>27</v>
      </c>
      <c r="E20" s="3" t="s">
        <v>52</v>
      </c>
    </row>
    <row r="22" spans="1:5" ht="25" customHeight="1">
      <c r="A22" s="15" t="s">
        <v>53</v>
      </c>
      <c r="B22" s="16"/>
      <c r="C22" s="16"/>
      <c r="D22" s="16"/>
      <c r="E22" s="16"/>
    </row>
    <row r="23" spans="1:5" ht="25" customHeight="1">
      <c r="A23" s="1" t="s">
        <v>54</v>
      </c>
      <c r="B23" s="1" t="s">
        <v>55</v>
      </c>
      <c r="C23" s="1" t="s">
        <v>56</v>
      </c>
      <c r="D23" s="1" t="s">
        <v>57</v>
      </c>
      <c r="E23" s="1" t="s">
        <v>58</v>
      </c>
    </row>
    <row r="24" spans="1:5" ht="22" customHeight="1">
      <c r="A24" s="2" t="s">
        <v>59</v>
      </c>
      <c r="B24" s="3" t="s">
        <v>60</v>
      </c>
      <c r="C24" s="9">
        <f>C19*C20</f>
        <v>1124969.625</v>
      </c>
      <c r="D24" s="10">
        <f t="shared" ref="D24:D35" si="0">C24/C$19</f>
        <v>1125</v>
      </c>
      <c r="E24" s="3" t="s">
        <v>61</v>
      </c>
    </row>
    <row r="25" spans="1:5" ht="22" customHeight="1">
      <c r="A25" s="3" t="s">
        <v>62</v>
      </c>
      <c r="B25" s="3" t="s">
        <v>63</v>
      </c>
      <c r="C25" s="11">
        <f>C19*C11</f>
        <v>749979.75</v>
      </c>
      <c r="D25" s="11">
        <f t="shared" si="0"/>
        <v>750</v>
      </c>
      <c r="E25" s="3" t="s">
        <v>64</v>
      </c>
    </row>
    <row r="26" spans="1:5" ht="22" customHeight="1">
      <c r="A26" s="3" t="s">
        <v>65</v>
      </c>
      <c r="B26" s="3" t="s">
        <v>66</v>
      </c>
      <c r="C26" s="11">
        <f>C6*C12</f>
        <v>82472</v>
      </c>
      <c r="D26" s="11">
        <f t="shared" si="0"/>
        <v>82.474226804123703</v>
      </c>
      <c r="E26" s="3" t="s">
        <v>64</v>
      </c>
    </row>
    <row r="27" spans="1:5" ht="22" customHeight="1">
      <c r="A27" s="3" t="s">
        <v>67</v>
      </c>
      <c r="B27" s="3" t="s">
        <v>68</v>
      </c>
      <c r="C27" s="11">
        <f>C6*C13</f>
        <v>0</v>
      </c>
      <c r="D27" s="11">
        <f t="shared" si="0"/>
        <v>0</v>
      </c>
      <c r="E27" s="3" t="s">
        <v>64</v>
      </c>
    </row>
    <row r="28" spans="1:5" ht="22" customHeight="1">
      <c r="A28" s="3" t="s">
        <v>69</v>
      </c>
      <c r="B28" s="3" t="s">
        <v>70</v>
      </c>
      <c r="C28" s="11">
        <f>C19*C14+6000</f>
        <v>35999.19</v>
      </c>
      <c r="D28" s="11">
        <f t="shared" si="0"/>
        <v>36.000162004374118</v>
      </c>
      <c r="E28" s="3" t="s">
        <v>64</v>
      </c>
    </row>
    <row r="29" spans="1:5" ht="22" customHeight="1">
      <c r="A29" s="3" t="s">
        <v>71</v>
      </c>
      <c r="B29" s="3" t="s">
        <v>72</v>
      </c>
      <c r="C29" s="11">
        <f>C24*C15</f>
        <v>11249.696250000001</v>
      </c>
      <c r="D29" s="11">
        <f t="shared" si="0"/>
        <v>11.25</v>
      </c>
      <c r="E29" s="3" t="s">
        <v>73</v>
      </c>
    </row>
    <row r="30" spans="1:5" ht="22" customHeight="1">
      <c r="A30" s="3" t="s">
        <v>74</v>
      </c>
      <c r="B30" s="3" t="s">
        <v>75</v>
      </c>
      <c r="C30" s="11">
        <f>C6*C16</f>
        <v>72163</v>
      </c>
      <c r="D30" s="11">
        <f t="shared" si="0"/>
        <v>72.164948453608247</v>
      </c>
      <c r="E30" s="3" t="s">
        <v>64</v>
      </c>
    </row>
    <row r="31" spans="1:5" ht="22" customHeight="1">
      <c r="A31" s="3" t="s">
        <v>76</v>
      </c>
      <c r="B31" s="3" t="s">
        <v>77</v>
      </c>
      <c r="C31" s="11">
        <f>C24*0.009</f>
        <v>10124.726624999999</v>
      </c>
      <c r="D31" s="11">
        <f t="shared" si="0"/>
        <v>10.124999999999998</v>
      </c>
      <c r="E31" s="3" t="s">
        <v>64</v>
      </c>
    </row>
    <row r="32" spans="1:5" ht="22" customHeight="1">
      <c r="A32" s="3" t="s">
        <v>78</v>
      </c>
      <c r="B32" s="3" t="s">
        <v>79</v>
      </c>
      <c r="C32" s="11">
        <f>C19*0</f>
        <v>0</v>
      </c>
      <c r="D32" s="11">
        <f t="shared" si="0"/>
        <v>0</v>
      </c>
      <c r="E32" s="3" t="s">
        <v>64</v>
      </c>
    </row>
    <row r="33" spans="1:5" ht="22" customHeight="1">
      <c r="A33" s="3" t="s">
        <v>80</v>
      </c>
      <c r="B33" s="3" t="s">
        <v>81</v>
      </c>
      <c r="C33" s="11">
        <f>0.05*(C25+C26+C27+C28+C30+C31+C32)</f>
        <v>47536.933331250002</v>
      </c>
      <c r="D33" s="11">
        <f t="shared" si="0"/>
        <v>47.538216863105305</v>
      </c>
      <c r="E33" s="3" t="s">
        <v>64</v>
      </c>
    </row>
    <row r="34" spans="1:5" ht="22" customHeight="1">
      <c r="A34" s="2" t="s">
        <v>82</v>
      </c>
      <c r="B34" s="3" t="s">
        <v>83</v>
      </c>
      <c r="C34" s="12">
        <f>C25+C26+C27+C28+C29+C30+C31+C32+C33</f>
        <v>1009525.29620625</v>
      </c>
      <c r="D34" s="6">
        <f t="shared" si="0"/>
        <v>1009.5525541252113</v>
      </c>
      <c r="E34" s="3" t="s">
        <v>84</v>
      </c>
    </row>
    <row r="35" spans="1:5" ht="22" customHeight="1">
      <c r="A35" s="2" t="s">
        <v>85</v>
      </c>
      <c r="B35" s="3" t="s">
        <v>86</v>
      </c>
      <c r="C35" s="9">
        <f>C24-C34</f>
        <v>115444.32879375003</v>
      </c>
      <c r="D35" s="9">
        <f t="shared" si="0"/>
        <v>115.44744587478864</v>
      </c>
      <c r="E35" s="3" t="s">
        <v>87</v>
      </c>
    </row>
    <row r="36" spans="1:5" ht="22" customHeight="1">
      <c r="A36" s="2" t="s">
        <v>88</v>
      </c>
      <c r="B36" s="3" t="s">
        <v>89</v>
      </c>
      <c r="C36" s="13">
        <f>C35/C24</f>
        <v>0.10261995188870102</v>
      </c>
      <c r="D36" s="14" t="s">
        <v>90</v>
      </c>
      <c r="E36" s="3" t="s">
        <v>91</v>
      </c>
    </row>
  </sheetData>
  <mergeCells count="4">
    <mergeCell ref="A22:E22"/>
    <mergeCell ref="A4:E4"/>
    <mergeCell ref="A1:E2"/>
    <mergeCell ref="A18:E1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workbookViewId="0"/>
  </sheetViews>
  <sheetFormatPr defaultRowHeight="14.1"/>
  <cols>
    <col min="1" max="1" width="27" customWidth="1"/>
    <col min="2" max="2" width="44" customWidth="1"/>
    <col min="3" max="3" width="40" customWidth="1"/>
    <col min="4" max="4" width="23" customWidth="1"/>
    <col min="5" max="5" width="38" customWidth="1"/>
  </cols>
  <sheetData>
    <row r="1" spans="1:5" ht="20.05" customHeight="1">
      <c r="A1" s="17" t="s">
        <v>117</v>
      </c>
      <c r="B1" s="16"/>
      <c r="C1" s="16"/>
      <c r="D1" s="16"/>
      <c r="E1" s="16"/>
    </row>
    <row r="2" spans="1:5" ht="20.05" customHeight="1">
      <c r="A2" s="16"/>
      <c r="B2" s="16"/>
      <c r="C2" s="16"/>
      <c r="D2" s="16"/>
      <c r="E2" s="16"/>
    </row>
    <row r="3" spans="1:5" ht="15" customHeight="1"/>
    <row r="4" spans="1:5" ht="25" customHeight="1">
      <c r="A4" s="15" t="s">
        <v>1</v>
      </c>
      <c r="B4" s="16"/>
      <c r="C4" s="16"/>
      <c r="D4" s="16"/>
      <c r="E4" s="16"/>
    </row>
    <row r="5" spans="1:5" ht="25" customHeight="1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ht="20.05" customHeight="1">
      <c r="A6" s="2" t="s">
        <v>7</v>
      </c>
      <c r="B6" s="3" t="s">
        <v>8</v>
      </c>
      <c r="C6" s="4">
        <v>1041.7</v>
      </c>
      <c r="D6" s="3" t="s">
        <v>9</v>
      </c>
      <c r="E6" s="3" t="s">
        <v>10</v>
      </c>
    </row>
    <row r="7" spans="1:5" ht="20.05" customHeight="1">
      <c r="A7" s="2" t="s">
        <v>11</v>
      </c>
      <c r="B7" s="3" t="s">
        <v>12</v>
      </c>
      <c r="C7" s="5">
        <v>0.04</v>
      </c>
      <c r="D7" s="3" t="s">
        <v>13</v>
      </c>
      <c r="E7" s="3" t="s">
        <v>14</v>
      </c>
    </row>
    <row r="8" spans="1:5" ht="20.05" customHeight="1">
      <c r="A8" s="2" t="s">
        <v>15</v>
      </c>
      <c r="B8" s="3" t="s">
        <v>118</v>
      </c>
      <c r="C8" s="5">
        <v>0.25</v>
      </c>
      <c r="D8" s="3" t="s">
        <v>13</v>
      </c>
      <c r="E8" s="3" t="s">
        <v>119</v>
      </c>
    </row>
    <row r="9" spans="1:5" ht="20.05" customHeight="1">
      <c r="A9" s="2" t="s">
        <v>18</v>
      </c>
      <c r="B9" s="3" t="s">
        <v>120</v>
      </c>
      <c r="C9" s="6">
        <v>8500</v>
      </c>
      <c r="D9" s="3" t="s">
        <v>20</v>
      </c>
      <c r="E9" s="3" t="s">
        <v>121</v>
      </c>
    </row>
    <row r="10" spans="1:5" ht="20.05" customHeight="1">
      <c r="A10" s="2" t="s">
        <v>22</v>
      </c>
      <c r="B10" s="3" t="s">
        <v>23</v>
      </c>
      <c r="C10" s="5">
        <v>0.82</v>
      </c>
      <c r="D10" s="3" t="s">
        <v>13</v>
      </c>
      <c r="E10" s="3" t="s">
        <v>122</v>
      </c>
    </row>
    <row r="11" spans="1:5" ht="20.05" customHeight="1">
      <c r="A11" s="2" t="s">
        <v>25</v>
      </c>
      <c r="B11" s="3" t="s">
        <v>123</v>
      </c>
      <c r="C11" s="6">
        <v>1200</v>
      </c>
      <c r="D11" s="3" t="s">
        <v>27</v>
      </c>
      <c r="E11" s="3" t="s">
        <v>28</v>
      </c>
    </row>
    <row r="12" spans="1:5" ht="20.05" customHeight="1">
      <c r="A12" s="2" t="s">
        <v>29</v>
      </c>
      <c r="B12" s="3" t="s">
        <v>124</v>
      </c>
      <c r="C12" s="6">
        <v>320</v>
      </c>
      <c r="D12" s="3" t="s">
        <v>31</v>
      </c>
      <c r="E12" s="3" t="s">
        <v>125</v>
      </c>
    </row>
    <row r="13" spans="1:5" ht="20.05" customHeight="1">
      <c r="A13" s="2" t="s">
        <v>33</v>
      </c>
      <c r="B13" s="3" t="s">
        <v>111</v>
      </c>
      <c r="C13" s="6">
        <v>50</v>
      </c>
      <c r="D13" s="3" t="s">
        <v>31</v>
      </c>
      <c r="E13" s="3" t="s">
        <v>126</v>
      </c>
    </row>
    <row r="14" spans="1:5" ht="20.05" customHeight="1">
      <c r="A14" s="2" t="s">
        <v>36</v>
      </c>
      <c r="B14" s="3" t="s">
        <v>127</v>
      </c>
      <c r="C14" s="6">
        <v>50</v>
      </c>
      <c r="D14" s="3" t="s">
        <v>27</v>
      </c>
      <c r="E14" s="3" t="s">
        <v>38</v>
      </c>
    </row>
    <row r="15" spans="1:5" ht="20.05" customHeight="1">
      <c r="A15" s="2" t="s">
        <v>39</v>
      </c>
      <c r="B15" s="3" t="s">
        <v>128</v>
      </c>
      <c r="C15" s="5">
        <v>0.05</v>
      </c>
      <c r="D15" s="3" t="s">
        <v>13</v>
      </c>
      <c r="E15" s="3" t="s">
        <v>41</v>
      </c>
    </row>
    <row r="16" spans="1:5" ht="20.05" customHeight="1">
      <c r="A16" s="2" t="s">
        <v>42</v>
      </c>
      <c r="B16" s="3" t="s">
        <v>115</v>
      </c>
      <c r="C16" s="6">
        <v>110</v>
      </c>
      <c r="D16" s="3" t="s">
        <v>31</v>
      </c>
      <c r="E16" s="3" t="s">
        <v>116</v>
      </c>
    </row>
    <row r="18" spans="1:5" ht="25" customHeight="1">
      <c r="A18" s="15" t="s">
        <v>45</v>
      </c>
      <c r="B18" s="16"/>
      <c r="C18" s="16"/>
      <c r="D18" s="16"/>
      <c r="E18" s="16"/>
    </row>
    <row r="19" spans="1:5" ht="20.05" customHeight="1">
      <c r="A19" s="2" t="s">
        <v>46</v>
      </c>
      <c r="B19" s="3" t="s">
        <v>47</v>
      </c>
      <c r="C19" s="7">
        <f>C6*(1-C7)</f>
        <v>1000.032</v>
      </c>
      <c r="D19" s="3" t="s">
        <v>48</v>
      </c>
      <c r="E19" s="3" t="s">
        <v>49</v>
      </c>
    </row>
    <row r="20" spans="1:5" ht="20.05" customHeight="1">
      <c r="A20" s="2" t="s">
        <v>50</v>
      </c>
      <c r="B20" s="3" t="s">
        <v>51</v>
      </c>
      <c r="C20" s="8">
        <f>C9*C8*C10</f>
        <v>1742.5</v>
      </c>
      <c r="D20" s="3" t="s">
        <v>27</v>
      </c>
      <c r="E20" s="3" t="s">
        <v>52</v>
      </c>
    </row>
    <row r="22" spans="1:5" ht="25" customHeight="1">
      <c r="A22" s="15" t="s">
        <v>53</v>
      </c>
      <c r="B22" s="16"/>
      <c r="C22" s="16"/>
      <c r="D22" s="16"/>
      <c r="E22" s="16"/>
    </row>
    <row r="23" spans="1:5" ht="25" customHeight="1">
      <c r="A23" s="1" t="s">
        <v>54</v>
      </c>
      <c r="B23" s="1" t="s">
        <v>55</v>
      </c>
      <c r="C23" s="1" t="s">
        <v>56</v>
      </c>
      <c r="D23" s="1" t="s">
        <v>57</v>
      </c>
      <c r="E23" s="1" t="s">
        <v>58</v>
      </c>
    </row>
    <row r="24" spans="1:5" ht="22" customHeight="1">
      <c r="A24" s="2" t="s">
        <v>59</v>
      </c>
      <c r="B24" s="3" t="s">
        <v>60</v>
      </c>
      <c r="C24" s="9">
        <f>C19*C20</f>
        <v>1742555.76</v>
      </c>
      <c r="D24" s="10">
        <f t="shared" ref="D24:D35" si="0">C24/C$19</f>
        <v>1742.5</v>
      </c>
      <c r="E24" s="3" t="s">
        <v>61</v>
      </c>
    </row>
    <row r="25" spans="1:5" ht="22" customHeight="1">
      <c r="A25" s="3" t="s">
        <v>62</v>
      </c>
      <c r="B25" s="3" t="s">
        <v>63</v>
      </c>
      <c r="C25" s="11">
        <f>C19*C11</f>
        <v>1200038.4000000001</v>
      </c>
      <c r="D25" s="11">
        <f t="shared" si="0"/>
        <v>1200</v>
      </c>
      <c r="E25" s="3" t="s">
        <v>64</v>
      </c>
    </row>
    <row r="26" spans="1:5" ht="22" customHeight="1">
      <c r="A26" s="3" t="s">
        <v>65</v>
      </c>
      <c r="B26" s="3" t="s">
        <v>66</v>
      </c>
      <c r="C26" s="11">
        <f>C6*C12</f>
        <v>333344</v>
      </c>
      <c r="D26" s="11">
        <f t="shared" si="0"/>
        <v>333.33333333333331</v>
      </c>
      <c r="E26" s="3" t="s">
        <v>64</v>
      </c>
    </row>
    <row r="27" spans="1:5" ht="22" customHeight="1">
      <c r="A27" s="3" t="s">
        <v>67</v>
      </c>
      <c r="B27" s="3" t="s">
        <v>68</v>
      </c>
      <c r="C27" s="11">
        <f>C6*C13</f>
        <v>52085</v>
      </c>
      <c r="D27" s="11">
        <f t="shared" si="0"/>
        <v>52.083333333333329</v>
      </c>
      <c r="E27" s="3" t="s">
        <v>64</v>
      </c>
    </row>
    <row r="28" spans="1:5" ht="22" customHeight="1">
      <c r="A28" s="3" t="s">
        <v>69</v>
      </c>
      <c r="B28" s="3" t="s">
        <v>70</v>
      </c>
      <c r="C28" s="11">
        <f>C19*C14+6000</f>
        <v>56001.599999999999</v>
      </c>
      <c r="D28" s="11">
        <f t="shared" si="0"/>
        <v>55.999808006143802</v>
      </c>
      <c r="E28" s="3" t="s">
        <v>64</v>
      </c>
    </row>
    <row r="29" spans="1:5" ht="22" customHeight="1">
      <c r="A29" s="3" t="s">
        <v>71</v>
      </c>
      <c r="B29" s="3" t="s">
        <v>72</v>
      </c>
      <c r="C29" s="11">
        <f>C24*C15</f>
        <v>87127.788</v>
      </c>
      <c r="D29" s="11">
        <f t="shared" si="0"/>
        <v>87.125</v>
      </c>
      <c r="E29" s="3" t="s">
        <v>73</v>
      </c>
    </row>
    <row r="30" spans="1:5" ht="22" customHeight="1">
      <c r="A30" s="3" t="s">
        <v>74</v>
      </c>
      <c r="B30" s="3" t="s">
        <v>75</v>
      </c>
      <c r="C30" s="11">
        <f>C6*C16</f>
        <v>114587</v>
      </c>
      <c r="D30" s="11">
        <f t="shared" si="0"/>
        <v>114.58333333333333</v>
      </c>
      <c r="E30" s="3" t="s">
        <v>64</v>
      </c>
    </row>
    <row r="31" spans="1:5" ht="22" customHeight="1">
      <c r="A31" s="3" t="s">
        <v>76</v>
      </c>
      <c r="B31" s="3" t="s">
        <v>77</v>
      </c>
      <c r="C31" s="11">
        <f>C24*0.009</f>
        <v>15683.001839999999</v>
      </c>
      <c r="D31" s="11">
        <f t="shared" si="0"/>
        <v>15.682499999999999</v>
      </c>
      <c r="E31" s="3" t="s">
        <v>64</v>
      </c>
    </row>
    <row r="32" spans="1:5" ht="22" customHeight="1">
      <c r="A32" s="3" t="s">
        <v>78</v>
      </c>
      <c r="B32" s="3" t="s">
        <v>129</v>
      </c>
      <c r="C32" s="11">
        <f>C19*88</f>
        <v>88002.816000000006</v>
      </c>
      <c r="D32" s="11">
        <f t="shared" si="0"/>
        <v>88</v>
      </c>
      <c r="E32" s="3" t="s">
        <v>64</v>
      </c>
    </row>
    <row r="33" spans="1:5" ht="22" customHeight="1">
      <c r="A33" s="3" t="s">
        <v>80</v>
      </c>
      <c r="B33" s="3" t="s">
        <v>81</v>
      </c>
      <c r="C33" s="11">
        <f>0.05*(C25+C26+C27+C28+C30+C31+C32)</f>
        <v>92987.090892000022</v>
      </c>
      <c r="D33" s="11">
        <f t="shared" si="0"/>
        <v>92.984115400307203</v>
      </c>
      <c r="E33" s="3" t="s">
        <v>64</v>
      </c>
    </row>
    <row r="34" spans="1:5" ht="22" customHeight="1">
      <c r="A34" s="2" t="s">
        <v>82</v>
      </c>
      <c r="B34" s="3" t="s">
        <v>83</v>
      </c>
      <c r="C34" s="12">
        <f>C25+C26+C27+C28+C29+C30+C31+C32+C33</f>
        <v>2039856.6967320004</v>
      </c>
      <c r="D34" s="6">
        <f t="shared" si="0"/>
        <v>2039.7914234064513</v>
      </c>
      <c r="E34" s="3" t="s">
        <v>84</v>
      </c>
    </row>
    <row r="35" spans="1:5" ht="22" customHeight="1">
      <c r="A35" s="2" t="s">
        <v>85</v>
      </c>
      <c r="B35" s="3" t="s">
        <v>86</v>
      </c>
      <c r="C35" s="9">
        <f>C24-C34</f>
        <v>-297300.93673200044</v>
      </c>
      <c r="D35" s="9">
        <f t="shared" si="0"/>
        <v>-297.29142340645143</v>
      </c>
      <c r="E35" s="3" t="s">
        <v>87</v>
      </c>
    </row>
    <row r="36" spans="1:5" ht="22" customHeight="1">
      <c r="A36" s="2" t="s">
        <v>88</v>
      </c>
      <c r="B36" s="3" t="s">
        <v>89</v>
      </c>
      <c r="C36" s="13">
        <f>C35/C24</f>
        <v>-0.17061200769380283</v>
      </c>
      <c r="D36" s="14" t="s">
        <v>90</v>
      </c>
      <c r="E36" s="3" t="s">
        <v>91</v>
      </c>
    </row>
  </sheetData>
  <mergeCells count="4">
    <mergeCell ref="A22:E22"/>
    <mergeCell ref="A4:E4"/>
    <mergeCell ref="A1:E2"/>
    <mergeCell ref="A18:E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Sb (锑原矿-精矿)</vt:lpstr>
      <vt:lpstr>WO3 (钨原矿-精矿)</vt:lpstr>
      <vt:lpstr>Li2O (锂辉石-锂云母)</vt:lpstr>
      <vt:lpstr>Cu (铜精矿)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Guo Dong Wang</cp:lastModifiedBy>
  <dcterms:created xsi:type="dcterms:W3CDTF">2026-07-06T07:50:09Z</dcterms:created>
  <dcterms:modified xsi:type="dcterms:W3CDTF">2026-07-06T07:50:17Z</dcterms:modified>
</cp:coreProperties>
</file>